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440" windowHeight="15396" tabRatio="557" activeTab="1"/>
  </bookViews>
  <sheets>
    <sheet name="Procedure" sheetId="1" r:id="rId1"/>
    <sheet name="General Order Form" sheetId="2" r:id="rId2"/>
    <sheet name="Rate" sheetId="3" r:id="rId3"/>
  </sheets>
  <definedNames>
    <definedName name="a">#REF!</definedName>
    <definedName name="e">#REF!</definedName>
    <definedName name="s">#REF!</definedName>
    <definedName name="solver_adj" localSheetId="2" hidden="1">'Rate'!#REF!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'Rate'!#REF!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<sst xmlns="http://schemas.openxmlformats.org/spreadsheetml/2006/main" count="112" uniqueCount="102">
  <si>
    <t>G. Bakker</t>
  </si>
  <si>
    <t>F&amp;C</t>
  </si>
  <si>
    <t>Atterberg Limits</t>
  </si>
  <si>
    <t>Saturated Hydraulic Conductivity Ksat (h=0)</t>
  </si>
  <si>
    <t>Saturated Hydraulic Conductivity Ksat (h=0) at extreme low conductivities</t>
  </si>
  <si>
    <t>Dry Bulk Density rho(d) (undisturbed samples) (T=105 dgr.C)</t>
  </si>
  <si>
    <t>Water Repellency: Water or Alcohol Penetration Test</t>
  </si>
  <si>
    <t>Wetting rate</t>
  </si>
  <si>
    <t>Samples</t>
  </si>
  <si>
    <t>Points</t>
  </si>
  <si>
    <t>Total</t>
  </si>
  <si>
    <t xml:space="preserve">Amount of </t>
  </si>
  <si>
    <t>Price per sample per point
(Euro)</t>
  </si>
  <si>
    <t>Total
(Euro)</t>
  </si>
  <si>
    <t>Project Manager:</t>
  </si>
  <si>
    <t>Research Group:</t>
  </si>
  <si>
    <t>Rate:</t>
  </si>
  <si>
    <t>Billing Address:</t>
  </si>
  <si>
    <t>Project Name:</t>
  </si>
  <si>
    <t>Institute:</t>
  </si>
  <si>
    <t>Addressee:</t>
  </si>
  <si>
    <t>Address:</t>
  </si>
  <si>
    <t>Postal code:</t>
  </si>
  <si>
    <t>City:</t>
  </si>
  <si>
    <t>Country:</t>
  </si>
  <si>
    <t>Name:</t>
  </si>
  <si>
    <t>Date:</t>
  </si>
  <si>
    <t>Signature:</t>
  </si>
  <si>
    <t>Remarks:</t>
  </si>
  <si>
    <t xml:space="preserve">Burette Hanging Water Column Manual (h=0 until -200cm) </t>
  </si>
  <si>
    <t>Pressure Plate (h=-10^3 until -10^4cm)</t>
  </si>
  <si>
    <t>Sandbox (h=0 until -100cm)</t>
  </si>
  <si>
    <t>Shrinkage Characteristic (h=0 until -10^6cm)</t>
  </si>
  <si>
    <t>Project Information:</t>
  </si>
  <si>
    <t>Multistep (h=0 until -1000cm) (fixed &gt; 50 points)</t>
  </si>
  <si>
    <t>Suction Plate (h=50 until -700cm)</t>
  </si>
  <si>
    <t>Complete Curves:</t>
  </si>
  <si>
    <t>Shrinkage Characteristic curve (h=0 until -10^6cm) 15 points</t>
  </si>
  <si>
    <t>Other:</t>
  </si>
  <si>
    <t>Method, Complete Curves, or Other</t>
  </si>
  <si>
    <t>Please fill in the Order Form</t>
  </si>
  <si>
    <t>Lab controllers:</t>
  </si>
  <si>
    <t>gerben.bakker@wur.nl</t>
  </si>
  <si>
    <t>harm.gooren@wur.nl</t>
  </si>
  <si>
    <t>The lab controller will contact you about planning and reservations</t>
  </si>
  <si>
    <t>Mail the Order Form to the lab controller and indicate the preferred dates of lab use</t>
  </si>
  <si>
    <t>Please note that once a reservation is made, it is normative, even if a lab job impends to overrun its planned time or is delayed. Shifts in reservations can only be made after consulting the lab controller.</t>
  </si>
  <si>
    <t>Administration costs</t>
  </si>
  <si>
    <t>Pore Volume (excl drying at 105 gr.C)  with air pycnometer</t>
  </si>
  <si>
    <t>Water Content or Wetness (Volumetric or Gravimetric Water Content) (T=105 dgr.C)</t>
  </si>
  <si>
    <t>Sieve curve weight fractions &lt;63, &lt;105, &lt;150, &lt;210, &lt;420, &lt;2000 (chemical preparation excl.)</t>
  </si>
  <si>
    <t>Compression c.q. Uniaxial test (compression and pressure head in time at predefined forces up to 7 bar)</t>
  </si>
  <si>
    <t>Aggregate Stability per aggregate fraction</t>
  </si>
  <si>
    <t>Normal total costs (Euro) per sample per point or fraction
Total (= Labor + Lab)
T (= 0.82  * T + 0.18 * T)</t>
  </si>
  <si>
    <t>Please contact:</t>
  </si>
  <si>
    <t>Gerben Bakker 0317-486537 (gerben.bakker@wur.nl)</t>
  </si>
  <si>
    <t>Harm Gooren 0317-483707 (harm.gooren@wur.nl)</t>
  </si>
  <si>
    <t xml:space="preserve">                                                                                                                                 </t>
  </si>
  <si>
    <t>Hours --&gt;</t>
  </si>
  <si>
    <t>Other Lab experiments expressed per man hour of use</t>
  </si>
  <si>
    <t>Air dry mass water content (h=-10^6 cm)</t>
  </si>
  <si>
    <t>(M+IKP)/2</t>
  </si>
  <si>
    <t>(Y / N)</t>
  </si>
  <si>
    <t>Experiment is part of a Contract Funded Project (3e geldstroom)</t>
  </si>
  <si>
    <t>Manager Project</t>
  </si>
  <si>
    <t>Manager SHP-lab</t>
  </si>
  <si>
    <t>Project Number:</t>
  </si>
  <si>
    <t>Lab Technician:</t>
  </si>
  <si>
    <t>Individual Methods:</t>
  </si>
  <si>
    <t>pF curve (h = 3, 10, 30, 60, 100, 300, 1000, 3000, 14000, 1000 000 cm = 5xSB+4xPP+1xAirDry)</t>
  </si>
  <si>
    <t>Is the Project Owner member of WUR-SWL,SLM,SBL,SGL?</t>
  </si>
  <si>
    <t>Total%</t>
  </si>
  <si>
    <t>Total Fee (%) =</t>
  </si>
  <si>
    <t>, of which Lab Fee (%) =</t>
  </si>
  <si>
    <t>SHP-lab members = WENR-SWL, DOW-SLM, DOW-SBL, DOW-SGL</t>
  </si>
  <si>
    <t>Lab%</t>
  </si>
  <si>
    <t>Tech%</t>
  </si>
  <si>
    <t>`</t>
  </si>
  <si>
    <t>Not(Contr) AND PM</t>
  </si>
  <si>
    <t>{NOT(PM) AND NOT(TM)} OR{Contr AND NOT(TM)}</t>
  </si>
  <si>
    <t>{Contr AND TM} OR {NOT(PM) AND TM}</t>
  </si>
  <si>
    <t>Percentages:</t>
  </si>
  <si>
    <t>With: Contr=Contract funded/3e geldstroom; PM=Project owner is member of SHP-lab; TM=Technician is member of SHP-lab:</t>
  </si>
  <si>
    <t>Loss on ignition (OS) (T=550 dgr.C); i.e. excl pre-drying and sieving over 2000um</t>
  </si>
  <si>
    <t>Rate (average of Markt_II&amp;III &amp; Intern II&amp;III)=</t>
  </si>
  <si>
    <t>PROCEDURE Soil Hydro-Physics Lab work 2021</t>
  </si>
  <si>
    <t>Pipette Method or Wet sieve per fraction (CBLB) (N.B: Preparation excl.) Only performed by lab personnel</t>
  </si>
  <si>
    <t>y</t>
  </si>
  <si>
    <t>Experiments performed by SHP-Lab Technician?</t>
  </si>
  <si>
    <t>Pipette Preparation (CBLB): Break, dry40, sieve &lt;2000u, Remove OM (H2O2), Carbonates (HCl) (Only performed by Lab personnel)</t>
  </si>
  <si>
    <t>Pipette Method fractions &lt;2, &lt;16, &lt;50, &gt;50u + wet sieve 50-63 (=5 frac) (CBLB) (N.B: Preparation excl.) Only performed by lab personnel</t>
  </si>
  <si>
    <t>Sieving Preparation (CBLB) = Pipette preparation (CBLB)</t>
  </si>
  <si>
    <t>Sieving weight fraction (Sieving preparation (CBLB) excl.)</t>
  </si>
  <si>
    <t>Last update by Gerben Bakker on 14-4-2021</t>
  </si>
  <si>
    <t>Unsaturated hydraulic conductivity curve + pF curve ( = 5xSB+4xPP+ AirDry+Evap+EvapFilter) (excl MvGfit, excl Ks)</t>
  </si>
  <si>
    <t>Evaporation (Wind) (h=-50 until -700cm) (fixed &gt; 20 points), excl Evapfilter, excl MvGfit</t>
  </si>
  <si>
    <t>Evaporation Filter + Mualem-Van Genuchten Fit</t>
  </si>
  <si>
    <t>(Un)saturated hydraulic conductivity curve + pF curve ( = 5xSB+4xPP+AirDry+Evap+Evapfilter+Ks+MvGfit)</t>
  </si>
  <si>
    <t>BRO complete: 5xSB+4xPP+AirDry+Evap+EvapFilter+Ks+MvGFit+CBLBprep+4xPipette+1xWetSieve+6xDrySieve+LOI</t>
  </si>
  <si>
    <t>Price List - version 2021-2</t>
  </si>
  <si>
    <t>Soil Hydro-Physics (SHP) Laboratory</t>
  </si>
  <si>
    <t>Order Form SHP-LAB 2021-v2,  (proj.nr. 5200046998)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</si>
</sst>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_ ;\-#,##0.0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.5"/>
      <name val="News Gothic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7"/>
      <name val="Arial"/>
      <family val="2"/>
    </font>
    <font>
      <b/>
      <sz val="14"/>
      <name val="Arial"/>
      <family val="2"/>
    </font>
    <font>
      <sz val="7.65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2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43" fillId="7" borderId="10" xfId="53" applyFill="1" applyBorder="1" applyAlignment="1">
      <alignment horizontal="left" vertical="center"/>
    </xf>
    <xf numFmtId="0" fontId="43" fillId="7" borderId="10" xfId="53" applyFill="1" applyBorder="1" applyAlignment="1">
      <alignment vertical="center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51" fillId="0" borderId="26" xfId="0" applyFont="1" applyFill="1" applyBorder="1" applyAlignment="1" applyProtection="1">
      <alignment horizontal="center" vertical="center"/>
      <protection/>
    </xf>
    <xf numFmtId="165" fontId="0" fillId="7" borderId="15" xfId="0" applyNumberFormat="1" applyFill="1" applyBorder="1" applyAlignment="1" applyProtection="1">
      <alignment vertical="center"/>
      <protection/>
    </xf>
    <xf numFmtId="2" fontId="3" fillId="7" borderId="10" xfId="0" applyNumberFormat="1" applyFont="1" applyFill="1" applyBorder="1" applyAlignment="1" applyProtection="1">
      <alignment horizontal="center" vertical="center"/>
      <protection/>
    </xf>
    <xf numFmtId="165" fontId="0" fillId="7" borderId="15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65" fontId="3" fillId="0" borderId="15" xfId="0" applyNumberFormat="1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4" fontId="0" fillId="33" borderId="10" xfId="0" applyNumberFormat="1" applyFill="1" applyBorder="1" applyAlignment="1" applyProtection="1">
      <alignment horizontal="left" vertical="center"/>
      <protection locked="0"/>
    </xf>
    <xf numFmtId="2" fontId="7" fillId="13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2" fontId="6" fillId="0" borderId="0" xfId="0" applyNumberFormat="1" applyFont="1" applyAlignment="1">
      <alignment wrapText="1"/>
    </xf>
    <xf numFmtId="0" fontId="14" fillId="0" borderId="0" xfId="0" applyFont="1" applyBorder="1" applyAlignment="1">
      <alignment/>
    </xf>
    <xf numFmtId="0" fontId="0" fillId="0" borderId="11" xfId="0" applyFill="1" applyBorder="1" applyAlignment="1" applyProtection="1">
      <alignment vertical="center"/>
      <protection/>
    </xf>
    <xf numFmtId="0" fontId="52" fillId="7" borderId="28" xfId="0" applyFont="1" applyFill="1" applyBorder="1" applyAlignment="1">
      <alignment horizontal="left" vertical="center" wrapText="1"/>
    </xf>
    <xf numFmtId="0" fontId="52" fillId="7" borderId="21" xfId="0" applyFont="1" applyFill="1" applyBorder="1" applyAlignment="1">
      <alignment horizontal="left" vertical="center" wrapText="1"/>
    </xf>
    <xf numFmtId="0" fontId="52" fillId="7" borderId="23" xfId="0" applyFont="1" applyFill="1" applyBorder="1" applyAlignment="1">
      <alignment horizontal="left" vertical="center" wrapText="1"/>
    </xf>
    <xf numFmtId="0" fontId="0" fillId="7" borderId="2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0" borderId="38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43" xfId="0" applyFont="1" applyFill="1" applyBorder="1" applyAlignment="1" applyProtection="1">
      <alignment horizontal="lef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39" xfId="0" applyFont="1" applyFill="1" applyBorder="1" applyAlignment="1" applyProtection="1">
      <alignment horizontal="left" vertical="center"/>
      <protection locked="0"/>
    </xf>
    <xf numFmtId="0" fontId="0" fillId="33" borderId="4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33" borderId="47" xfId="0" applyFill="1" applyBorder="1" applyAlignment="1" applyProtection="1">
      <alignment horizontal="left" vertical="center"/>
      <protection locked="0"/>
    </xf>
    <xf numFmtId="0" fontId="0" fillId="33" borderId="48" xfId="0" applyFill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3" fillId="7" borderId="15" xfId="0" applyFont="1" applyFill="1" applyBorder="1" applyAlignment="1" applyProtection="1">
      <alignment horizontal="center" vertical="center"/>
      <protection/>
    </xf>
    <xf numFmtId="0" fontId="3" fillId="7" borderId="52" xfId="0" applyFont="1" applyFill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 applyProtection="1">
      <alignment horizontal="center" vertical="center" wrapText="1"/>
      <protection/>
    </xf>
    <xf numFmtId="0" fontId="51" fillId="0" borderId="21" xfId="0" applyFont="1" applyBorder="1" applyAlignment="1" applyProtection="1">
      <alignment horizontal="center" vertical="center"/>
      <protection/>
    </xf>
    <xf numFmtId="0" fontId="51" fillId="0" borderId="44" xfId="0" applyFont="1" applyBorder="1" applyAlignment="1" applyProtection="1">
      <alignment horizontal="center" vertical="center"/>
      <protection/>
    </xf>
    <xf numFmtId="0" fontId="3" fillId="7" borderId="53" xfId="0" applyFont="1" applyFill="1" applyBorder="1" applyAlignment="1" applyProtection="1">
      <alignment horizontal="center" vertical="center" wrapText="1"/>
      <protection/>
    </xf>
    <xf numFmtId="0" fontId="3" fillId="7" borderId="54" xfId="0" applyFont="1" applyFill="1" applyBorder="1" applyAlignment="1" applyProtection="1">
      <alignment horizontal="center" vertical="center" wrapText="1"/>
      <protection/>
    </xf>
    <xf numFmtId="0" fontId="3" fillId="7" borderId="33" xfId="0" applyFont="1" applyFill="1" applyBorder="1" applyAlignment="1" applyProtection="1">
      <alignment horizontal="center" vertical="center" wrapText="1"/>
      <protection/>
    </xf>
    <xf numFmtId="0" fontId="3" fillId="7" borderId="34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 vertical="center"/>
      <protection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56" xfId="0" applyFill="1" applyBorder="1" applyAlignment="1" applyProtection="1">
      <alignment horizontal="left" vertical="center"/>
      <protection locked="0"/>
    </xf>
    <xf numFmtId="0" fontId="3" fillId="7" borderId="57" xfId="0" applyFont="1" applyFill="1" applyBorder="1" applyAlignment="1" applyProtection="1">
      <alignment horizontal="left" vertical="center"/>
      <protection/>
    </xf>
    <xf numFmtId="0" fontId="3" fillId="7" borderId="0" xfId="0" applyFont="1" applyFill="1" applyBorder="1" applyAlignment="1" applyProtection="1">
      <alignment horizontal="left" vertical="center"/>
      <protection/>
    </xf>
    <xf numFmtId="0" fontId="3" fillId="7" borderId="54" xfId="0" applyFont="1" applyFill="1" applyBorder="1" applyAlignment="1" applyProtection="1">
      <alignment horizontal="left" vertical="center"/>
      <protection/>
    </xf>
    <xf numFmtId="0" fontId="3" fillId="7" borderId="58" xfId="0" applyFont="1" applyFill="1" applyBorder="1" applyAlignment="1" applyProtection="1">
      <alignment horizontal="left" vertical="center"/>
      <protection/>
    </xf>
    <xf numFmtId="0" fontId="3" fillId="7" borderId="35" xfId="0" applyFont="1" applyFill="1" applyBorder="1" applyAlignment="1" applyProtection="1">
      <alignment horizontal="left" vertical="center"/>
      <protection/>
    </xf>
    <xf numFmtId="0" fontId="3" fillId="7" borderId="34" xfId="0" applyFont="1" applyFill="1" applyBorder="1" applyAlignment="1" applyProtection="1">
      <alignment horizontal="left" vertical="center"/>
      <protection/>
    </xf>
    <xf numFmtId="0" fontId="5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1562100</xdr:colOff>
      <xdr:row>0</xdr:row>
      <xdr:rowOff>447675</xdr:rowOff>
    </xdr:to>
    <xdr:pic>
      <xdr:nvPicPr>
        <xdr:cNvPr id="1" name="Picture 5" descr="_WUR_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5219700</xdr:colOff>
      <xdr:row>0</xdr:row>
      <xdr:rowOff>0</xdr:rowOff>
    </xdr:from>
    <xdr:to>
      <xdr:col>1</xdr:col>
      <xdr:colOff>1571625</xdr:colOff>
      <xdr:row>0</xdr:row>
      <xdr:rowOff>409575</xdr:rowOff>
    </xdr:to>
    <xdr:pic>
      <xdr:nvPicPr>
        <xdr:cNvPr id="1" name="Picture 2" descr="wu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3314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ben.bakker@wur.nl" TargetMode="External" /><Relationship Id="rId2" Type="http://schemas.openxmlformats.org/officeDocument/2006/relationships/hyperlink" Target="mailto:harm.gooren@wur.n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86" zoomScaleNormal="86" zoomScalePageLayoutView="0" workbookViewId="0" topLeftCell="A1">
      <selection activeCell="A1" sqref="A1:D2"/>
    </sheetView>
  </sheetViews>
  <sheetFormatPr defaultColWidth="9.140625" defaultRowHeight="12.75"/>
  <cols>
    <col min="1" max="1" width="3.28125" style="1" customWidth="1"/>
    <col min="2" max="2" width="18.28125" style="0" customWidth="1"/>
    <col min="3" max="3" width="2.140625" style="1" bestFit="1" customWidth="1"/>
    <col min="4" max="4" width="66.00390625" style="0" customWidth="1"/>
    <col min="5" max="5" width="61.57421875" style="0" bestFit="1" customWidth="1"/>
  </cols>
  <sheetData>
    <row r="1" spans="1:4" ht="18.75" customHeight="1">
      <c r="A1" s="95" t="s">
        <v>85</v>
      </c>
      <c r="B1" s="95"/>
      <c r="C1" s="95"/>
      <c r="D1" s="95"/>
    </row>
    <row r="2" spans="1:4" ht="12.75">
      <c r="A2" s="96"/>
      <c r="B2" s="96"/>
      <c r="C2" s="96"/>
      <c r="D2" s="96"/>
    </row>
    <row r="3" spans="1:4" s="16" customFormat="1" ht="19.5" customHeight="1">
      <c r="A3" s="17">
        <v>1</v>
      </c>
      <c r="B3" s="97" t="s">
        <v>40</v>
      </c>
      <c r="C3" s="97"/>
      <c r="D3" s="97"/>
    </row>
    <row r="4" spans="1:4" s="16" customFormat="1" ht="19.5" customHeight="1">
      <c r="A4" s="17">
        <v>2</v>
      </c>
      <c r="B4" s="97" t="s">
        <v>45</v>
      </c>
      <c r="C4" s="97"/>
      <c r="D4" s="97"/>
    </row>
    <row r="5" spans="1:4" s="16" customFormat="1" ht="19.5" customHeight="1">
      <c r="A5" s="17">
        <v>3</v>
      </c>
      <c r="B5" s="97" t="s">
        <v>44</v>
      </c>
      <c r="C5" s="97"/>
      <c r="D5" s="97"/>
    </row>
    <row r="6" spans="1:4" s="16" customFormat="1" ht="33" customHeight="1">
      <c r="A6" s="17">
        <v>4</v>
      </c>
      <c r="B6" s="85" t="s">
        <v>46</v>
      </c>
      <c r="C6" s="86"/>
      <c r="D6" s="87"/>
    </row>
    <row r="7" spans="1:4" s="16" customFormat="1" ht="19.5" customHeight="1">
      <c r="A7" s="88"/>
      <c r="B7" s="89"/>
      <c r="C7" s="89"/>
      <c r="D7" s="90"/>
    </row>
    <row r="8" spans="1:4" s="16" customFormat="1" ht="19.5" customHeight="1">
      <c r="A8" s="91" t="s">
        <v>41</v>
      </c>
      <c r="B8" s="92"/>
      <c r="C8" s="17">
        <v>1</v>
      </c>
      <c r="D8" s="18" t="s">
        <v>42</v>
      </c>
    </row>
    <row r="9" spans="1:4" s="16" customFormat="1" ht="19.5" customHeight="1">
      <c r="A9" s="93"/>
      <c r="B9" s="94"/>
      <c r="C9" s="17">
        <v>2</v>
      </c>
      <c r="D9" s="19" t="s">
        <v>43</v>
      </c>
    </row>
  </sheetData>
  <sheetProtection sheet="1" objects="1" scenarios="1"/>
  <mergeCells count="7">
    <mergeCell ref="B6:D6"/>
    <mergeCell ref="A7:D7"/>
    <mergeCell ref="A8:B9"/>
    <mergeCell ref="A1:D2"/>
    <mergeCell ref="B3:D3"/>
    <mergeCell ref="B4:D4"/>
    <mergeCell ref="B5:D5"/>
  </mergeCells>
  <hyperlinks>
    <hyperlink ref="D8" r:id="rId1" display="gerben.bakker@wur.nl"/>
    <hyperlink ref="D9" r:id="rId2" display="harm.gooren@wur.nl"/>
  </hyperlinks>
  <printOptions/>
  <pageMargins left="0.75" right="0.75" top="1" bottom="1" header="0.5" footer="0.5"/>
  <pageSetup fitToHeight="1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tabSelected="1" zoomScale="85" zoomScaleNormal="85" zoomScalePageLayoutView="0" workbookViewId="0" topLeftCell="A1">
      <pane ySplit="17" topLeftCell="A48" activePane="bottomLeft" state="frozen"/>
      <selection pane="topLeft" activeCell="A1" sqref="A1"/>
      <selection pane="bottomLeft" activeCell="B4" sqref="B4:C4"/>
    </sheetView>
  </sheetViews>
  <sheetFormatPr defaultColWidth="9.140625" defaultRowHeight="12.75"/>
  <cols>
    <col min="1" max="1" width="25.57421875" style="0" customWidth="1"/>
    <col min="2" max="2" width="36.00390625" style="0" customWidth="1"/>
    <col min="3" max="3" width="12.00390625" style="0" customWidth="1"/>
    <col min="4" max="4" width="13.28125" style="0" customWidth="1"/>
    <col min="5" max="5" width="20.421875" style="0" customWidth="1"/>
    <col min="6" max="6" width="13.28125" style="5" customWidth="1"/>
    <col min="7" max="7" width="11.57421875" style="5" customWidth="1"/>
    <col min="8" max="8" width="10.421875" style="5" customWidth="1"/>
    <col min="9" max="9" width="15.421875" style="5" customWidth="1"/>
  </cols>
  <sheetData>
    <row r="1" spans="1:9" ht="43.5" customHeight="1" thickBot="1">
      <c r="A1" s="51"/>
      <c r="B1" s="51"/>
      <c r="C1" s="51"/>
      <c r="D1" s="51"/>
      <c r="E1" s="51"/>
      <c r="F1" s="52"/>
      <c r="G1" s="52"/>
      <c r="H1" s="52"/>
      <c r="I1" s="52"/>
    </row>
    <row r="2" spans="1:9" ht="30.75" customHeight="1" thickBot="1">
      <c r="A2" s="98" t="s">
        <v>101</v>
      </c>
      <c r="B2" s="99"/>
      <c r="C2" s="99"/>
      <c r="D2" s="99"/>
      <c r="E2" s="99"/>
      <c r="F2" s="99"/>
      <c r="G2" s="99"/>
      <c r="H2" s="99"/>
      <c r="I2" s="100"/>
    </row>
    <row r="3" spans="1:9" ht="17.25">
      <c r="A3" s="53" t="s">
        <v>33</v>
      </c>
      <c r="B3" s="54"/>
      <c r="C3" s="54"/>
      <c r="D3" s="166" t="s">
        <v>17</v>
      </c>
      <c r="E3" s="167"/>
      <c r="F3" s="167"/>
      <c r="G3" s="167"/>
      <c r="H3" s="167"/>
      <c r="I3" s="168"/>
    </row>
    <row r="4" spans="1:9" ht="19.5" customHeight="1">
      <c r="A4" s="47" t="s">
        <v>14</v>
      </c>
      <c r="B4" s="117"/>
      <c r="C4" s="118"/>
      <c r="D4" s="115" t="s">
        <v>19</v>
      </c>
      <c r="E4" s="115"/>
      <c r="F4" s="117"/>
      <c r="G4" s="118"/>
      <c r="H4" s="118"/>
      <c r="I4" s="119"/>
    </row>
    <row r="5" spans="1:9" ht="19.5" customHeight="1">
      <c r="A5" s="47" t="s">
        <v>66</v>
      </c>
      <c r="B5" s="117"/>
      <c r="C5" s="118"/>
      <c r="D5" s="115" t="s">
        <v>20</v>
      </c>
      <c r="E5" s="115"/>
      <c r="F5" s="117"/>
      <c r="G5" s="118"/>
      <c r="H5" s="118"/>
      <c r="I5" s="119"/>
    </row>
    <row r="6" spans="1:9" ht="19.5" customHeight="1">
      <c r="A6" s="47" t="s">
        <v>18</v>
      </c>
      <c r="B6" s="117"/>
      <c r="C6" s="118"/>
      <c r="D6" s="115" t="s">
        <v>21</v>
      </c>
      <c r="E6" s="115"/>
      <c r="F6" s="117"/>
      <c r="G6" s="118"/>
      <c r="H6" s="118"/>
      <c r="I6" s="119"/>
    </row>
    <row r="7" spans="1:9" ht="19.5" customHeight="1">
      <c r="A7" s="47" t="s">
        <v>15</v>
      </c>
      <c r="B7" s="117"/>
      <c r="C7" s="118"/>
      <c r="D7" s="115" t="s">
        <v>22</v>
      </c>
      <c r="E7" s="115"/>
      <c r="F7" s="117"/>
      <c r="G7" s="118"/>
      <c r="H7" s="118"/>
      <c r="I7" s="119"/>
    </row>
    <row r="8" spans="1:15" ht="19.5" customHeight="1">
      <c r="A8" s="47" t="s">
        <v>67</v>
      </c>
      <c r="B8" s="117"/>
      <c r="C8" s="118"/>
      <c r="D8" s="115" t="s">
        <v>23</v>
      </c>
      <c r="E8" s="115"/>
      <c r="F8" s="117"/>
      <c r="G8" s="118"/>
      <c r="H8" s="118"/>
      <c r="I8" s="119"/>
      <c r="O8" s="2"/>
    </row>
    <row r="9" spans="1:15" ht="19.5" customHeight="1">
      <c r="A9" s="45"/>
      <c r="B9" s="46"/>
      <c r="C9" s="46"/>
      <c r="D9" s="115" t="s">
        <v>24</v>
      </c>
      <c r="E9" s="116"/>
      <c r="F9" s="120"/>
      <c r="G9" s="121"/>
      <c r="H9" s="121"/>
      <c r="I9" s="122"/>
      <c r="O9" s="2"/>
    </row>
    <row r="10" spans="1:15" ht="19.5" customHeight="1">
      <c r="A10" s="113" t="s">
        <v>63</v>
      </c>
      <c r="B10" s="114"/>
      <c r="C10" s="50" t="s">
        <v>62</v>
      </c>
      <c r="D10" s="76" t="s">
        <v>87</v>
      </c>
      <c r="E10" s="111">
        <f>IF(OR(D10="N",D10="n",D10="Y",D10="y"),"","&lt; -- Not a valid entry")</f>
      </c>
      <c r="F10" s="112"/>
      <c r="G10" s="112"/>
      <c r="H10" s="102"/>
      <c r="I10" s="103"/>
      <c r="O10" s="2"/>
    </row>
    <row r="11" spans="1:15" ht="19.5" customHeight="1">
      <c r="A11" s="113" t="s">
        <v>70</v>
      </c>
      <c r="B11" s="114"/>
      <c r="C11" s="50" t="s">
        <v>62</v>
      </c>
      <c r="D11" s="76" t="s">
        <v>87</v>
      </c>
      <c r="E11" s="162">
        <f>IF(OR(D11="N",D11="n",D11="Y",D11="y"),"","&lt; -- Not a valid entry")</f>
      </c>
      <c r="F11" s="163"/>
      <c r="G11" s="163"/>
      <c r="H11" s="104"/>
      <c r="I11" s="105"/>
      <c r="O11" s="2"/>
    </row>
    <row r="12" spans="1:15" ht="19.5" customHeight="1">
      <c r="A12" s="113" t="s">
        <v>88</v>
      </c>
      <c r="B12" s="114"/>
      <c r="C12" s="50" t="s">
        <v>62</v>
      </c>
      <c r="D12" s="76" t="s">
        <v>87</v>
      </c>
      <c r="E12" s="164">
        <f>IF(OR(D12="N",D12="n"),"Please indicate Assistance Need under Remarks",IF(OR(D12="Y",D12="y"),"","&lt; -- Not a valid entry"))</f>
      </c>
      <c r="F12" s="165"/>
      <c r="G12" s="165"/>
      <c r="H12" s="106"/>
      <c r="I12" s="107"/>
      <c r="O12" s="2"/>
    </row>
    <row r="13" spans="1:9" ht="19.5" customHeight="1" thickBot="1">
      <c r="A13" s="49" t="s">
        <v>16</v>
      </c>
      <c r="B13" s="48" t="s">
        <v>61</v>
      </c>
      <c r="C13" s="77"/>
      <c r="D13" s="84" t="b">
        <f>IF(AND(OR(D10="Y",D10="y",D10="N",D10="n"),OR(D11="Y",D11="y",D11="N",D11="n"),OR(D12="Y",D12="y",D12="N",D12="n")),TRUE,FALSE)</f>
        <v>1</v>
      </c>
      <c r="E13" s="79" t="s">
        <v>72</v>
      </c>
      <c r="F13" s="78">
        <f>IF(D13=FALSE,100,IF(AND(D10="N",D11="Y"),0,IF(OR(AND(D11="N",D12="N"),AND(D10="Y",D12="N")),25,100)))</f>
        <v>100</v>
      </c>
      <c r="G13" s="101" t="s">
        <v>73</v>
      </c>
      <c r="H13" s="101"/>
      <c r="I13" s="80">
        <f>IF(D13=FALSE,18,IF(AND(D10="N",D11="Y"),0,IF(OR(AND(D11="N",D12="N"),AND(D10="Y",D12="N")),25,18)))</f>
        <v>18</v>
      </c>
    </row>
    <row r="14" spans="1:9" ht="12.75" customHeight="1">
      <c r="A14" s="173" t="str">
        <f>Rate!A14</f>
        <v>Method, Complete Curves, or Other</v>
      </c>
      <c r="B14" s="174"/>
      <c r="C14" s="174"/>
      <c r="D14" s="174"/>
      <c r="E14" s="175"/>
      <c r="F14" s="154" t="s">
        <v>12</v>
      </c>
      <c r="G14" s="158" t="s">
        <v>11</v>
      </c>
      <c r="H14" s="159"/>
      <c r="I14" s="152" t="s">
        <v>13</v>
      </c>
    </row>
    <row r="15" spans="1:9" ht="12.75">
      <c r="A15" s="173"/>
      <c r="B15" s="174"/>
      <c r="C15" s="174"/>
      <c r="D15" s="174"/>
      <c r="E15" s="175"/>
      <c r="F15" s="154"/>
      <c r="G15" s="158"/>
      <c r="H15" s="159"/>
      <c r="I15" s="152"/>
    </row>
    <row r="16" spans="1:9" ht="45.75" customHeight="1">
      <c r="A16" s="173"/>
      <c r="B16" s="174"/>
      <c r="C16" s="174"/>
      <c r="D16" s="174"/>
      <c r="E16" s="175"/>
      <c r="F16" s="154"/>
      <c r="G16" s="160"/>
      <c r="H16" s="161"/>
      <c r="I16" s="152"/>
    </row>
    <row r="17" spans="1:9" ht="12.75">
      <c r="A17" s="176"/>
      <c r="B17" s="177"/>
      <c r="C17" s="177"/>
      <c r="D17" s="177"/>
      <c r="E17" s="178"/>
      <c r="F17" s="155"/>
      <c r="G17" s="55" t="s">
        <v>8</v>
      </c>
      <c r="H17" s="55" t="s">
        <v>9</v>
      </c>
      <c r="I17" s="153"/>
    </row>
    <row r="18" spans="1:9" s="15" customFormat="1" ht="30" customHeight="1">
      <c r="A18" s="56" t="str">
        <f>Rate!A15</f>
        <v>Individual Methods:</v>
      </c>
      <c r="B18" s="57"/>
      <c r="C18" s="57"/>
      <c r="D18" s="58"/>
      <c r="E18" s="58"/>
      <c r="F18" s="156"/>
      <c r="G18" s="156"/>
      <c r="H18" s="156"/>
      <c r="I18" s="157"/>
    </row>
    <row r="19" spans="1:15" ht="19.5" customHeight="1">
      <c r="A19" s="108" t="str">
        <f>Rate!A16</f>
        <v>Aggregate Stability per aggregate fraction</v>
      </c>
      <c r="B19" s="109"/>
      <c r="C19" s="109"/>
      <c r="D19" s="109"/>
      <c r="E19" s="110"/>
      <c r="F19" s="55">
        <f>ROUND(($F$13/100)*Rate!B16,2)</f>
        <v>96.38</v>
      </c>
      <c r="G19" s="14"/>
      <c r="H19" s="59">
        <v>1</v>
      </c>
      <c r="I19" s="60">
        <f aca="true" t="shared" si="0" ref="I19:I41">IF(AND(G19&gt;0,H19&gt;0),F19*G19*H19,"")</f>
      </c>
      <c r="L19" s="41"/>
      <c r="M19" s="41"/>
      <c r="N19" s="41"/>
      <c r="O19" s="41"/>
    </row>
    <row r="20" spans="1:15" ht="19.5" customHeight="1">
      <c r="A20" s="108" t="str">
        <f>Rate!A17</f>
        <v>Air dry mass water content (h=-10^6 cm)</v>
      </c>
      <c r="B20" s="109"/>
      <c r="C20" s="109"/>
      <c r="D20" s="109"/>
      <c r="E20" s="110"/>
      <c r="F20" s="55">
        <f>ROUND(($F$13/100)*Rate!B17,2)</f>
        <v>24.91</v>
      </c>
      <c r="G20" s="14"/>
      <c r="H20" s="59">
        <v>1</v>
      </c>
      <c r="I20" s="60">
        <f>IF(AND(G20&gt;0,H20&gt;0),F20*G20*H20,"")</f>
      </c>
      <c r="L20" s="41"/>
      <c r="M20" s="41"/>
      <c r="N20" s="41"/>
      <c r="O20" s="41"/>
    </row>
    <row r="21" spans="1:15" ht="19.5" customHeight="1">
      <c r="A21" s="108" t="str">
        <f>Rate!A18</f>
        <v>Atterberg Limits</v>
      </c>
      <c r="B21" s="109"/>
      <c r="C21" s="109"/>
      <c r="D21" s="109"/>
      <c r="E21" s="110"/>
      <c r="F21" s="55">
        <f>ROUND(($F$13/100)*Rate!B18,2)</f>
        <v>664.29</v>
      </c>
      <c r="G21" s="14"/>
      <c r="H21" s="59">
        <v>1</v>
      </c>
      <c r="I21" s="60">
        <f t="shared" si="0"/>
      </c>
      <c r="L21" s="41"/>
      <c r="M21" s="41"/>
      <c r="N21" s="41"/>
      <c r="O21" s="41"/>
    </row>
    <row r="22" spans="1:15" ht="19.5" customHeight="1">
      <c r="A22" s="108" t="str">
        <f>Rate!A19</f>
        <v>Burette Hanging Water Column Manual (h=0 until -200cm) </v>
      </c>
      <c r="B22" s="109"/>
      <c r="C22" s="109"/>
      <c r="D22" s="109"/>
      <c r="E22" s="110"/>
      <c r="F22" s="55">
        <f>ROUND(($F$13/100)*Rate!B19,2)</f>
        <v>85.41</v>
      </c>
      <c r="G22" s="14"/>
      <c r="H22" s="14"/>
      <c r="I22" s="60">
        <f t="shared" si="0"/>
      </c>
      <c r="L22" s="41"/>
      <c r="M22" s="41"/>
      <c r="N22" s="41"/>
      <c r="O22" s="41"/>
    </row>
    <row r="23" spans="1:15" ht="19.5" customHeight="1">
      <c r="A23" s="108" t="str">
        <f>Rate!A20</f>
        <v>Dry Bulk Density rho(d) (undisturbed samples) (T=105 dgr.C)</v>
      </c>
      <c r="B23" s="109"/>
      <c r="C23" s="109"/>
      <c r="D23" s="109"/>
      <c r="E23" s="110"/>
      <c r="F23" s="55">
        <f>ROUND(($F$13/100)*Rate!B20,2)</f>
        <v>24.91</v>
      </c>
      <c r="G23" s="14"/>
      <c r="H23" s="59">
        <v>1</v>
      </c>
      <c r="I23" s="60">
        <f t="shared" si="0"/>
      </c>
      <c r="L23" s="41"/>
      <c r="M23" s="41"/>
      <c r="N23" s="41"/>
      <c r="O23" s="41"/>
    </row>
    <row r="24" spans="1:15" ht="19.5" customHeight="1">
      <c r="A24" s="108" t="str">
        <f>Rate!A21</f>
        <v>Evaporation (Wind) (h=-50 until -700cm) (fixed &gt; 20 points), excl Evapfilter, excl MvGfit</v>
      </c>
      <c r="B24" s="109"/>
      <c r="C24" s="109"/>
      <c r="D24" s="109"/>
      <c r="E24" s="110"/>
      <c r="F24" s="55">
        <f>ROUND(($F$13/100)*Rate!B21,2)</f>
        <v>830.91</v>
      </c>
      <c r="G24" s="14"/>
      <c r="H24" s="59">
        <v>1</v>
      </c>
      <c r="I24" s="60">
        <f t="shared" si="0"/>
      </c>
      <c r="L24" s="41"/>
      <c r="M24" s="41"/>
      <c r="N24" s="41"/>
      <c r="O24" s="41"/>
    </row>
    <row r="25" spans="1:15" ht="19.5" customHeight="1">
      <c r="A25" s="108" t="str">
        <f>Rate!A22</f>
        <v>Evaporation Filter + Mualem-Van Genuchten Fit</v>
      </c>
      <c r="B25" s="109"/>
      <c r="C25" s="109"/>
      <c r="D25" s="109"/>
      <c r="E25" s="110"/>
      <c r="F25" s="55">
        <f>ROUND(($F$13/100)*Rate!B22,2)</f>
        <v>399.43</v>
      </c>
      <c r="G25" s="14"/>
      <c r="H25" s="59">
        <v>1</v>
      </c>
      <c r="I25" s="60">
        <f>IF(AND(G25&gt;0,H25&gt;0),F25*G25*H25,"")</f>
      </c>
      <c r="L25" s="41"/>
      <c r="M25" s="41"/>
      <c r="N25" s="41"/>
      <c r="O25" s="41"/>
    </row>
    <row r="26" spans="1:15" ht="19.5" customHeight="1">
      <c r="A26" s="108" t="str">
        <f>Rate!A23</f>
        <v>Loss on ignition (OS) (T=550 dgr.C); i.e. excl pre-drying and sieving over 2000um</v>
      </c>
      <c r="B26" s="109"/>
      <c r="C26" s="109"/>
      <c r="D26" s="109"/>
      <c r="E26" s="110"/>
      <c r="F26" s="55">
        <f>ROUND(($F$13/100)*Rate!B23,2)</f>
        <v>19.06</v>
      </c>
      <c r="G26" s="14"/>
      <c r="H26" s="59">
        <v>1</v>
      </c>
      <c r="I26" s="60">
        <f t="shared" si="0"/>
      </c>
      <c r="L26" s="41"/>
      <c r="M26" s="41"/>
      <c r="N26" s="41"/>
      <c r="O26" s="41"/>
    </row>
    <row r="27" spans="1:15" ht="19.5" customHeight="1">
      <c r="A27" s="108" t="str">
        <f>Rate!A24</f>
        <v>Multistep (h=0 until -1000cm) (fixed &gt; 50 points)</v>
      </c>
      <c r="B27" s="109"/>
      <c r="C27" s="109"/>
      <c r="D27" s="109"/>
      <c r="E27" s="110"/>
      <c r="F27" s="55">
        <f>ROUND(($F$13/100)*Rate!B24,2)</f>
        <v>129.3</v>
      </c>
      <c r="G27" s="14"/>
      <c r="H27" s="59">
        <v>1</v>
      </c>
      <c r="I27" s="60">
        <f t="shared" si="0"/>
      </c>
      <c r="L27" s="41"/>
      <c r="M27" s="41"/>
      <c r="N27" s="41"/>
      <c r="O27" s="41"/>
    </row>
    <row r="28" spans="1:9" ht="19.5" customHeight="1">
      <c r="A28" s="108" t="str">
        <f>Rate!A25</f>
        <v>Pipette Preparation (CBLB): Break, dry40, sieve &lt;2000u, Remove OM (H2O2), Carbonates (HCl) (Only performed by Lab personnel)</v>
      </c>
      <c r="B28" s="109"/>
      <c r="C28" s="109"/>
      <c r="D28" s="109"/>
      <c r="E28" s="110"/>
      <c r="F28" s="61">
        <f>Rate!B25</f>
        <v>138.5</v>
      </c>
      <c r="G28" s="14"/>
      <c r="H28" s="59">
        <v>1</v>
      </c>
      <c r="I28" s="60">
        <f t="shared" si="0"/>
      </c>
    </row>
    <row r="29" spans="1:9" ht="19.5" customHeight="1">
      <c r="A29" s="108" t="str">
        <f>Rate!A26</f>
        <v>Pipette Method or Wet sieve per fraction (CBLB) (N.B: Preparation excl.) Only performed by lab personnel</v>
      </c>
      <c r="B29" s="109"/>
      <c r="C29" s="109"/>
      <c r="D29" s="109"/>
      <c r="E29" s="110"/>
      <c r="F29" s="61">
        <f>Rate!B26</f>
        <v>23.4</v>
      </c>
      <c r="G29" s="14"/>
      <c r="H29" s="14"/>
      <c r="I29" s="60">
        <f t="shared" si="0"/>
      </c>
    </row>
    <row r="30" spans="1:9" ht="19.5" customHeight="1">
      <c r="A30" s="108" t="str">
        <f>Rate!A27</f>
        <v>Pore Volume (excl drying at 105 gr.C)  with air pycnometer</v>
      </c>
      <c r="B30" s="109"/>
      <c r="C30" s="109"/>
      <c r="D30" s="109"/>
      <c r="E30" s="110"/>
      <c r="F30" s="55">
        <f>ROUND(($F$13/100)*Rate!B27,2)</f>
        <v>51.01</v>
      </c>
      <c r="G30" s="14"/>
      <c r="H30" s="59">
        <v>1</v>
      </c>
      <c r="I30" s="60">
        <f t="shared" si="0"/>
      </c>
    </row>
    <row r="31" spans="1:9" ht="19.5" customHeight="1">
      <c r="A31" s="108" t="str">
        <f>Rate!A28</f>
        <v>Pressure Plate (h=-10^3 until -10^4cm)</v>
      </c>
      <c r="B31" s="109"/>
      <c r="C31" s="109"/>
      <c r="D31" s="109"/>
      <c r="E31" s="110"/>
      <c r="F31" s="55">
        <f>ROUND(($F$13/100)*Rate!B28,2)</f>
        <v>94.89</v>
      </c>
      <c r="G31" s="14"/>
      <c r="H31" s="14"/>
      <c r="I31" s="60">
        <f t="shared" si="0"/>
      </c>
    </row>
    <row r="32" spans="1:9" ht="19.5" customHeight="1">
      <c r="A32" s="108" t="str">
        <f>Rate!A29</f>
        <v>Sandbox (h=0 until -100cm)</v>
      </c>
      <c r="B32" s="109"/>
      <c r="C32" s="109"/>
      <c r="D32" s="109"/>
      <c r="E32" s="110"/>
      <c r="F32" s="55">
        <f>ROUND(($F$13/100)*Rate!B29,2)</f>
        <v>24.91</v>
      </c>
      <c r="G32" s="14"/>
      <c r="H32" s="14"/>
      <c r="I32" s="60">
        <f t="shared" si="0"/>
      </c>
    </row>
    <row r="33" spans="1:9" ht="19.5" customHeight="1">
      <c r="A33" s="108" t="str">
        <f>Rate!A30</f>
        <v>Saturated Hydraulic Conductivity Ksat (h=0)</v>
      </c>
      <c r="B33" s="109"/>
      <c r="C33" s="109"/>
      <c r="D33" s="109"/>
      <c r="E33" s="110"/>
      <c r="F33" s="55">
        <f>ROUND(($F$13/100)*Rate!B30,2)</f>
        <v>352.31</v>
      </c>
      <c r="G33" s="14"/>
      <c r="H33" s="59">
        <v>1</v>
      </c>
      <c r="I33" s="60">
        <f t="shared" si="0"/>
      </c>
    </row>
    <row r="34" spans="1:9" ht="19.5" customHeight="1">
      <c r="A34" s="108" t="str">
        <f>Rate!A31</f>
        <v>Saturated Hydraulic Conductivity Ksat (h=0) at extreme low conductivities</v>
      </c>
      <c r="B34" s="109"/>
      <c r="C34" s="109"/>
      <c r="D34" s="109"/>
      <c r="E34" s="110"/>
      <c r="F34" s="55">
        <f>ROUND(($F$13/100)*Rate!B31,2)</f>
        <v>508.9</v>
      </c>
      <c r="G34" s="14"/>
      <c r="H34" s="59">
        <v>1</v>
      </c>
      <c r="I34" s="60">
        <f t="shared" si="0"/>
      </c>
    </row>
    <row r="35" spans="1:9" ht="19.5" customHeight="1">
      <c r="A35" s="108" t="str">
        <f>Rate!A32</f>
        <v>Shrinkage Characteristic (h=0 until -10^6cm)</v>
      </c>
      <c r="B35" s="109"/>
      <c r="C35" s="109"/>
      <c r="D35" s="109"/>
      <c r="E35" s="110"/>
      <c r="F35" s="55">
        <f>ROUND(($F$13/100)*Rate!B32,2)</f>
        <v>29.65</v>
      </c>
      <c r="G35" s="14"/>
      <c r="H35" s="14"/>
      <c r="I35" s="60">
        <f t="shared" si="0"/>
      </c>
    </row>
    <row r="36" spans="1:9" ht="19.5" customHeight="1">
      <c r="A36" s="108" t="str">
        <f>Rate!A33</f>
        <v>Sieving Preparation (CBLB) = Pipette preparation (CBLB)</v>
      </c>
      <c r="B36" s="109"/>
      <c r="C36" s="109"/>
      <c r="D36" s="109"/>
      <c r="E36" s="110"/>
      <c r="F36" s="61">
        <f>Rate!B33</f>
        <v>138.5</v>
      </c>
      <c r="G36" s="14"/>
      <c r="H36" s="59">
        <v>1</v>
      </c>
      <c r="I36" s="60">
        <f>IF(AND(G36&gt;0,H36&gt;0),F36*G36*H36,"")</f>
      </c>
    </row>
    <row r="37" spans="1:9" ht="19.5" customHeight="1">
      <c r="A37" s="108" t="str">
        <f>Rate!A34</f>
        <v>Sieving weight fraction (Sieving preparation (CBLB) excl.)</v>
      </c>
      <c r="B37" s="109"/>
      <c r="C37" s="109"/>
      <c r="D37" s="109"/>
      <c r="E37" s="110"/>
      <c r="F37" s="55">
        <f>ROUND(($F$13/100)*Rate!B34,2)</f>
        <v>20.16</v>
      </c>
      <c r="G37" s="14"/>
      <c r="H37" s="14"/>
      <c r="I37" s="60">
        <f t="shared" si="0"/>
      </c>
    </row>
    <row r="38" spans="1:9" ht="19.5" customHeight="1">
      <c r="A38" s="108" t="str">
        <f>Rate!A35</f>
        <v>Suction Plate (h=50 until -700cm)</v>
      </c>
      <c r="B38" s="109"/>
      <c r="C38" s="109"/>
      <c r="D38" s="109"/>
      <c r="E38" s="110"/>
      <c r="F38" s="55">
        <f>ROUND(($F$13/100)*Rate!B35,2)</f>
        <v>43.89</v>
      </c>
      <c r="G38" s="14"/>
      <c r="H38" s="14"/>
      <c r="I38" s="60">
        <f t="shared" si="0"/>
      </c>
    </row>
    <row r="39" spans="1:9" ht="19.5" customHeight="1">
      <c r="A39" s="108" t="str">
        <f>Rate!A36</f>
        <v>Water Content or Wetness (Volumetric or Gravimetric Water Content) (T=105 dgr.C)</v>
      </c>
      <c r="B39" s="109"/>
      <c r="C39" s="109"/>
      <c r="D39" s="109"/>
      <c r="E39" s="110"/>
      <c r="F39" s="55">
        <f>ROUND(($F$13/100)*Rate!B36,2)</f>
        <v>24.91</v>
      </c>
      <c r="G39" s="14"/>
      <c r="H39" s="59">
        <v>1</v>
      </c>
      <c r="I39" s="60">
        <f t="shared" si="0"/>
      </c>
    </row>
    <row r="40" spans="1:9" ht="19.5" customHeight="1">
      <c r="A40" s="108" t="str">
        <f>Rate!A37</f>
        <v>Water Repellency: Water or Alcohol Penetration Test</v>
      </c>
      <c r="B40" s="109"/>
      <c r="C40" s="109"/>
      <c r="D40" s="109"/>
      <c r="E40" s="110"/>
      <c r="F40" s="55">
        <f>ROUND(($F$13/100)*Rate!B37,2)</f>
        <v>24.91</v>
      </c>
      <c r="G40" s="14"/>
      <c r="H40" s="59">
        <v>1</v>
      </c>
      <c r="I40" s="60">
        <f t="shared" si="0"/>
      </c>
    </row>
    <row r="41" spans="1:9" ht="19.5" customHeight="1">
      <c r="A41" s="108" t="str">
        <f>Rate!A38</f>
        <v>Wetting rate</v>
      </c>
      <c r="B41" s="109"/>
      <c r="C41" s="109"/>
      <c r="D41" s="109"/>
      <c r="E41" s="110"/>
      <c r="F41" s="55">
        <f>ROUND(($F$13/100)*Rate!B38,2)</f>
        <v>118.62</v>
      </c>
      <c r="G41" s="14"/>
      <c r="H41" s="59">
        <v>1</v>
      </c>
      <c r="I41" s="60">
        <f t="shared" si="0"/>
      </c>
    </row>
    <row r="42" spans="1:9" ht="30" customHeight="1">
      <c r="A42" s="149" t="str">
        <f>Rate!A39</f>
        <v>Complete Curves:</v>
      </c>
      <c r="B42" s="150"/>
      <c r="C42" s="150"/>
      <c r="D42" s="150"/>
      <c r="E42" s="150"/>
      <c r="F42" s="150"/>
      <c r="G42" s="150"/>
      <c r="H42" s="150"/>
      <c r="I42" s="151"/>
    </row>
    <row r="43" spans="1:9" ht="19.5" customHeight="1">
      <c r="A43" s="108" t="str">
        <f>Rate!A40</f>
        <v>Compression c.q. Uniaxial test (compression and pressure head in time at predefined forces up to 7 bar)</v>
      </c>
      <c r="B43" s="109"/>
      <c r="C43" s="109"/>
      <c r="D43" s="109"/>
      <c r="E43" s="110"/>
      <c r="F43" s="55">
        <f>ROUND(($F$13/100)*Rate!B40,2)</f>
        <v>218.27</v>
      </c>
      <c r="G43" s="14"/>
      <c r="H43" s="59">
        <v>1</v>
      </c>
      <c r="I43" s="60">
        <f>IF(AND(G43&gt;0,H43&gt;0),F43*G43*H43,"")</f>
      </c>
    </row>
    <row r="44" spans="1:9" ht="19.5" customHeight="1">
      <c r="A44" s="108" t="str">
        <f>Rate!A41</f>
        <v>pF curve (h = 3, 10, 30, 60, 100, 300, 1000, 3000, 14000, 1000 000 cm = 5xSB+4xPP+1xAirDry)</v>
      </c>
      <c r="B44" s="109"/>
      <c r="C44" s="109"/>
      <c r="D44" s="109"/>
      <c r="E44" s="110"/>
      <c r="F44" s="55">
        <f>ROUND(($F$13/100)*Rate!B41,2)</f>
        <v>529.02</v>
      </c>
      <c r="G44" s="14"/>
      <c r="H44" s="59">
        <v>1</v>
      </c>
      <c r="I44" s="60">
        <f aca="true" t="shared" si="1" ref="I44:I50">IF(AND(G44&gt;0,H44&gt;0),F44*G44*H44,"")</f>
      </c>
    </row>
    <row r="45" spans="1:9" ht="19.5" customHeight="1">
      <c r="A45" s="108" t="str">
        <f>Rate!A42</f>
        <v>Pipette Preparation (CBLB): Break, dry40, sieve &lt;2000u, Remove OM (H2O2), Carbonates (HCl) (Only performed by Lab personnel)</v>
      </c>
      <c r="B45" s="109"/>
      <c r="C45" s="109"/>
      <c r="D45" s="109"/>
      <c r="E45" s="110"/>
      <c r="F45" s="55">
        <f>ROUND(($F$13/100)*Rate!B42,2)</f>
        <v>138.5</v>
      </c>
      <c r="G45" s="14"/>
      <c r="H45" s="59">
        <v>1</v>
      </c>
      <c r="I45" s="60">
        <f t="shared" si="1"/>
      </c>
    </row>
    <row r="46" spans="1:9" ht="19.5" customHeight="1">
      <c r="A46" s="108" t="str">
        <f>Rate!A43</f>
        <v>Pipette Method fractions &lt;2, &lt;16, &lt;50, &gt;50u + wet sieve 50-63 (=5 frac) (CBLB) (N.B: Preparation excl.) Only performed by lab personnel</v>
      </c>
      <c r="B46" s="109"/>
      <c r="C46" s="109"/>
      <c r="D46" s="109"/>
      <c r="E46" s="110"/>
      <c r="F46" s="55">
        <f>ROUND(($F$13/100)*Rate!B43,2)</f>
        <v>117</v>
      </c>
      <c r="G46" s="14"/>
      <c r="H46" s="59">
        <v>1</v>
      </c>
      <c r="I46" s="60">
        <f t="shared" si="1"/>
      </c>
    </row>
    <row r="47" spans="1:9" ht="19.5" customHeight="1">
      <c r="A47" s="108" t="str">
        <f>Rate!A44</f>
        <v>Shrinkage Characteristic curve (h=0 until -10^6cm) 15 points</v>
      </c>
      <c r="B47" s="109"/>
      <c r="C47" s="109"/>
      <c r="D47" s="109"/>
      <c r="E47" s="110"/>
      <c r="F47" s="55">
        <f>ROUND(($F$13/100)*Rate!B44,2)</f>
        <v>444.76</v>
      </c>
      <c r="G47" s="14"/>
      <c r="H47" s="59">
        <v>1</v>
      </c>
      <c r="I47" s="62">
        <f t="shared" si="1"/>
      </c>
    </row>
    <row r="48" spans="1:9" ht="19.5" customHeight="1">
      <c r="A48" s="108" t="str">
        <f>Rate!A45</f>
        <v>Sieve curve weight fractions &lt;63, &lt;105, &lt;150, &lt;210, &lt;420, &lt;2000 (chemical preparation excl.)</v>
      </c>
      <c r="B48" s="109"/>
      <c r="C48" s="109"/>
      <c r="D48" s="109"/>
      <c r="E48" s="110"/>
      <c r="F48" s="55">
        <f>ROUND(($F$13/100)*Rate!B45,2)</f>
        <v>120.96</v>
      </c>
      <c r="G48" s="14"/>
      <c r="H48" s="59">
        <v>1</v>
      </c>
      <c r="I48" s="60">
        <f t="shared" si="1"/>
      </c>
    </row>
    <row r="49" spans="1:9" ht="19.5" customHeight="1">
      <c r="A49" s="108" t="str">
        <f>Rate!A46</f>
        <v>Unsaturated hydraulic conductivity curve + pF curve ( = 5xSB+4xPP+ AirDry+Evap+EvapFilter) (excl MvGfit, excl Ks)</v>
      </c>
      <c r="B49" s="109"/>
      <c r="C49" s="109"/>
      <c r="D49" s="109"/>
      <c r="E49" s="110"/>
      <c r="F49" s="55">
        <f>ROUND(($F$13/100)*Rate!B46,2)</f>
        <v>1559.65</v>
      </c>
      <c r="G49" s="14"/>
      <c r="H49" s="59">
        <v>1</v>
      </c>
      <c r="I49" s="60">
        <f>IF(AND(G49&gt;0,H49&gt;0),F49*G49*H49,"")</f>
      </c>
    </row>
    <row r="50" spans="1:9" ht="19.5" customHeight="1">
      <c r="A50" s="108" t="str">
        <f>Rate!A47</f>
        <v>(Un)saturated hydraulic conductivity curve + pF curve ( = 5xSB+4xPP+AirDry+Evap+Evapfilter+Ks+MvGfit)</v>
      </c>
      <c r="B50" s="109"/>
      <c r="C50" s="109"/>
      <c r="D50" s="109"/>
      <c r="E50" s="110"/>
      <c r="F50" s="55">
        <f>ROUND(($F$13/100)*Rate!B47,2)</f>
        <v>2268.26</v>
      </c>
      <c r="G50" s="14"/>
      <c r="H50" s="59">
        <v>1</v>
      </c>
      <c r="I50" s="60">
        <f t="shared" si="1"/>
      </c>
    </row>
    <row r="51" spans="1:9" ht="19.5" customHeight="1">
      <c r="A51" s="108" t="str">
        <f>Rate!A48</f>
        <v>BRO complete: 5xSB+4xPP+AirDry+Evap+EvapFilter+Ks+MvGFit+CBLBprep+4xPipette+1xWetSieve+6xDrySieve+LOI</v>
      </c>
      <c r="B51" s="109"/>
      <c r="C51" s="109"/>
      <c r="D51" s="109"/>
      <c r="E51" s="110"/>
      <c r="F51" s="55">
        <f>ROUND(($F$13/100)*Rate!B48,2)</f>
        <v>2507.19</v>
      </c>
      <c r="G51" s="14"/>
      <c r="H51" s="59">
        <v>1</v>
      </c>
      <c r="I51" s="60">
        <f>IF(AND(G51&gt;0,H51&gt;0),F51*G51*H51,"")</f>
      </c>
    </row>
    <row r="52" spans="1:9" ht="30" customHeight="1">
      <c r="A52" s="146" t="str">
        <f>Rate!A49</f>
        <v>Other:</v>
      </c>
      <c r="B52" s="147"/>
      <c r="C52" s="147"/>
      <c r="D52" s="147"/>
      <c r="E52" s="147"/>
      <c r="F52" s="147"/>
      <c r="G52" s="147"/>
      <c r="H52" s="147"/>
      <c r="I52" s="148"/>
    </row>
    <row r="53" spans="1:9" ht="36.75" customHeight="1">
      <c r="A53" s="143" t="str">
        <f>Rate!A50</f>
        <v>Other Lab experiments expressed per man hour of use</v>
      </c>
      <c r="B53" s="144"/>
      <c r="C53" s="144"/>
      <c r="D53" s="144"/>
      <c r="E53" s="145"/>
      <c r="F53" s="55">
        <f>ROUND(($F$13/100)*Rate!B50,2)</f>
        <v>133.14</v>
      </c>
      <c r="G53" s="63" t="s">
        <v>58</v>
      </c>
      <c r="H53" s="14"/>
      <c r="I53" s="60">
        <f>IF(H53&gt;0,F53*H53,"")</f>
      </c>
    </row>
    <row r="54" spans="1:9" ht="19.5" customHeight="1">
      <c r="A54" s="146"/>
      <c r="B54" s="147"/>
      <c r="C54" s="147"/>
      <c r="D54" s="147"/>
      <c r="E54" s="147"/>
      <c r="F54" s="147"/>
      <c r="G54" s="147"/>
      <c r="H54" s="147"/>
      <c r="I54" s="148"/>
    </row>
    <row r="55" spans="1:9" ht="36.75" customHeight="1">
      <c r="A55" s="143" t="s">
        <v>47</v>
      </c>
      <c r="B55" s="144"/>
      <c r="C55" s="144"/>
      <c r="D55" s="144"/>
      <c r="E55" s="144"/>
      <c r="F55" s="144"/>
      <c r="G55" s="144"/>
      <c r="H55" s="145"/>
      <c r="I55" s="60">
        <f>Rate!B5/2</f>
        <v>55.285</v>
      </c>
    </row>
    <row r="56" spans="1:9" ht="19.5" customHeight="1">
      <c r="A56" s="129"/>
      <c r="B56" s="130"/>
      <c r="C56" s="130"/>
      <c r="D56" s="130"/>
      <c r="E56" s="130"/>
      <c r="F56" s="131" t="s">
        <v>10</v>
      </c>
      <c r="G56" s="132"/>
      <c r="H56" s="133"/>
      <c r="I56" s="64">
        <f>SUM(I19:I55)</f>
        <v>55.285</v>
      </c>
    </row>
    <row r="57" spans="1:9" ht="57" customHeight="1" thickBot="1">
      <c r="A57" s="65" t="s">
        <v>28</v>
      </c>
      <c r="B57" s="136"/>
      <c r="C57" s="137"/>
      <c r="D57" s="137"/>
      <c r="E57" s="137"/>
      <c r="F57" s="137"/>
      <c r="G57" s="137"/>
      <c r="H57" s="137"/>
      <c r="I57" s="138"/>
    </row>
    <row r="58" spans="1:9" ht="57.75" customHeight="1">
      <c r="A58" s="134" t="s">
        <v>65</v>
      </c>
      <c r="B58" s="135"/>
      <c r="C58" s="139" t="s">
        <v>64</v>
      </c>
      <c r="D58" s="140"/>
      <c r="E58" s="141"/>
      <c r="F58" s="135" t="s">
        <v>1</v>
      </c>
      <c r="G58" s="135"/>
      <c r="H58" s="135"/>
      <c r="I58" s="142"/>
    </row>
    <row r="59" spans="1:9" ht="19.5" customHeight="1">
      <c r="A59" s="66" t="s">
        <v>25</v>
      </c>
      <c r="B59" s="20" t="s">
        <v>0</v>
      </c>
      <c r="C59" s="67" t="s">
        <v>25</v>
      </c>
      <c r="D59" s="169"/>
      <c r="E59" s="170"/>
      <c r="F59" s="123" t="s">
        <v>25</v>
      </c>
      <c r="G59" s="123"/>
      <c r="H59" s="125"/>
      <c r="I59" s="126"/>
    </row>
    <row r="60" spans="1:9" ht="19.5" customHeight="1">
      <c r="A60" s="66" t="s">
        <v>26</v>
      </c>
      <c r="B60" s="70"/>
      <c r="C60" s="67" t="s">
        <v>26</v>
      </c>
      <c r="D60" s="169"/>
      <c r="E60" s="170"/>
      <c r="F60" s="123" t="s">
        <v>26</v>
      </c>
      <c r="G60" s="123"/>
      <c r="H60" s="125"/>
      <c r="I60" s="126"/>
    </row>
    <row r="61" spans="1:9" ht="19.5" customHeight="1" thickBot="1">
      <c r="A61" s="68" t="s">
        <v>27</v>
      </c>
      <c r="B61" s="21"/>
      <c r="C61" s="69" t="s">
        <v>27</v>
      </c>
      <c r="D61" s="171"/>
      <c r="E61" s="172"/>
      <c r="F61" s="124" t="s">
        <v>27</v>
      </c>
      <c r="G61" s="124"/>
      <c r="H61" s="127"/>
      <c r="I61" s="128"/>
    </row>
  </sheetData>
  <sheetProtection sheet="1" selectLockedCells="1"/>
  <mergeCells count="86">
    <mergeCell ref="D59:E59"/>
    <mergeCell ref="D60:E60"/>
    <mergeCell ref="D61:E61"/>
    <mergeCell ref="A14:E17"/>
    <mergeCell ref="A50:E50"/>
    <mergeCell ref="A49:E49"/>
    <mergeCell ref="A48:E48"/>
    <mergeCell ref="A47:E47"/>
    <mergeCell ref="A46:E46"/>
    <mergeCell ref="A45:E45"/>
    <mergeCell ref="A44:E44"/>
    <mergeCell ref="A43:E43"/>
    <mergeCell ref="A23:E23"/>
    <mergeCell ref="A29:E29"/>
    <mergeCell ref="A22:E22"/>
    <mergeCell ref="A21:E21"/>
    <mergeCell ref="D7:E7"/>
    <mergeCell ref="D8:E8"/>
    <mergeCell ref="A20:E20"/>
    <mergeCell ref="A19:E19"/>
    <mergeCell ref="A28:E28"/>
    <mergeCell ref="A27:E27"/>
    <mergeCell ref="A26:E26"/>
    <mergeCell ref="A25:E25"/>
    <mergeCell ref="A24:E24"/>
    <mergeCell ref="B5:C5"/>
    <mergeCell ref="B4:C4"/>
    <mergeCell ref="D4:E4"/>
    <mergeCell ref="D5:E5"/>
    <mergeCell ref="D6:E6"/>
    <mergeCell ref="A55:H55"/>
    <mergeCell ref="A52:I52"/>
    <mergeCell ref="A54:I54"/>
    <mergeCell ref="A53:E53"/>
    <mergeCell ref="A10:B10"/>
    <mergeCell ref="A11:B11"/>
    <mergeCell ref="A42:I42"/>
    <mergeCell ref="I14:I17"/>
    <mergeCell ref="F14:F17"/>
    <mergeCell ref="F18:I18"/>
    <mergeCell ref="G14:H16"/>
    <mergeCell ref="E11:G11"/>
    <mergeCell ref="E12:G12"/>
    <mergeCell ref="A41:E41"/>
    <mergeCell ref="A40:E40"/>
    <mergeCell ref="A39:E39"/>
    <mergeCell ref="A56:E56"/>
    <mergeCell ref="F56:H56"/>
    <mergeCell ref="A58:B58"/>
    <mergeCell ref="B57:I57"/>
    <mergeCell ref="C58:E58"/>
    <mergeCell ref="F58:I58"/>
    <mergeCell ref="F59:G59"/>
    <mergeCell ref="F60:G60"/>
    <mergeCell ref="F61:G61"/>
    <mergeCell ref="H59:I59"/>
    <mergeCell ref="H60:I60"/>
    <mergeCell ref="H61:I61"/>
    <mergeCell ref="A51:E51"/>
    <mergeCell ref="E10:G10"/>
    <mergeCell ref="A38:E38"/>
    <mergeCell ref="A37:E37"/>
    <mergeCell ref="A36:E36"/>
    <mergeCell ref="A35:E35"/>
    <mergeCell ref="A34:E34"/>
    <mergeCell ref="A12:B12"/>
    <mergeCell ref="A33:E33"/>
    <mergeCell ref="A32:E32"/>
    <mergeCell ref="A31:E31"/>
    <mergeCell ref="A30:E30"/>
    <mergeCell ref="A2:I2"/>
    <mergeCell ref="G13:H13"/>
    <mergeCell ref="H10:I10"/>
    <mergeCell ref="H11:I11"/>
    <mergeCell ref="H12:I12"/>
    <mergeCell ref="D9:E9"/>
    <mergeCell ref="F4:I4"/>
    <mergeCell ref="F5:I5"/>
    <mergeCell ref="F6:I6"/>
    <mergeCell ref="F7:I7"/>
    <mergeCell ref="F8:I8"/>
    <mergeCell ref="F9:I9"/>
    <mergeCell ref="D3:I3"/>
    <mergeCell ref="B8:C8"/>
    <mergeCell ref="B7:C7"/>
    <mergeCell ref="B6:C6"/>
  </mergeCells>
  <conditionalFormatting sqref="D13">
    <cfRule type="cellIs" priority="8" dxfId="0" operator="equal">
      <formula>FALSE</formula>
    </cfRule>
  </conditionalFormatting>
  <conditionalFormatting sqref="E12:G12">
    <cfRule type="containsText" priority="1" dxfId="0" operator="containsText" text="Please indicate Assistance Need under Remarks">
      <formula>NOT(ISERROR(SEARCH("Please indicate Assistance Need under Remarks",E12)))</formula>
    </cfRule>
    <cfRule type="containsText" priority="2" dxfId="5" operator="containsText" text="Please indicate Assistance Need under Remarks">
      <formula>NOT(ISERROR(SEARCH("Please indicate Assistance Need under Remarks",E12)))</formula>
    </cfRule>
    <cfRule type="containsText" priority="3" dxfId="0" operator="containsText" text="&lt; -- Not a valid entry">
      <formula>NOT(ISERROR(SEARCH("&lt; -- Not a valid entry",E12)))</formula>
    </cfRule>
    <cfRule type="cellIs" priority="7" dxfId="0" operator="equal">
      <formula>"Indicate Assistance Need under Remarks"</formula>
    </cfRule>
  </conditionalFormatting>
  <conditionalFormatting sqref="E10:G10">
    <cfRule type="containsText" priority="5" dxfId="0" operator="containsText" text="&lt; -- Not a valid entry">
      <formula>NOT(ISERROR(SEARCH("&lt; -- Not a valid entry",E10)))</formula>
    </cfRule>
    <cfRule type="cellIs" priority="6" dxfId="0" operator="equal">
      <formula>"&lt;-- Not a valid entry"</formula>
    </cfRule>
  </conditionalFormatting>
  <conditionalFormatting sqref="E11:G11">
    <cfRule type="containsText" priority="4" dxfId="0" operator="containsText" text="&lt; -- Not a valid entry">
      <formula>NOT(ISERROR(SEARCH("&lt; -- Not a valid entry",E11)))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79"/>
  <sheetViews>
    <sheetView zoomScale="87" zoomScaleNormal="87" zoomScalePageLayoutView="0" workbookViewId="0" topLeftCell="A1">
      <pane ySplit="14" topLeftCell="A15" activePane="bottomLeft" state="frozen"/>
      <selection pane="topLeft" activeCell="A1" sqref="A1"/>
      <selection pane="bottomLeft" activeCell="A2" sqref="A2:B2"/>
    </sheetView>
  </sheetViews>
  <sheetFormatPr defaultColWidth="9.140625" defaultRowHeight="12.75"/>
  <cols>
    <col min="1" max="1" width="104.421875" style="3" bestFit="1" customWidth="1"/>
    <col min="2" max="2" width="24.57421875" style="3" customWidth="1"/>
    <col min="3" max="3" width="6.7109375" style="3" bestFit="1" customWidth="1"/>
    <col min="4" max="4" width="7.8515625" style="3" bestFit="1" customWidth="1"/>
    <col min="5" max="5" width="20.00390625" style="3" bestFit="1" customWidth="1"/>
    <col min="6" max="6" width="8.421875" style="3" bestFit="1" customWidth="1"/>
    <col min="7" max="7" width="29.28125" style="3" bestFit="1" customWidth="1"/>
    <col min="8" max="8" width="36.7109375" style="3" bestFit="1" customWidth="1"/>
    <col min="9" max="9" width="22.28125" style="3" bestFit="1" customWidth="1"/>
    <col min="10" max="10" width="8.00390625" style="3" customWidth="1"/>
    <col min="11" max="11" width="8.28125" style="3" customWidth="1"/>
    <col min="12" max="12" width="8.421875" style="3" customWidth="1"/>
    <col min="13" max="13" width="7.140625" style="3" customWidth="1"/>
    <col min="14" max="14" width="6.421875" style="3" bestFit="1" customWidth="1"/>
    <col min="15" max="15" width="9.8515625" style="3" bestFit="1" customWidth="1"/>
    <col min="16" max="16" width="12.57421875" style="3" bestFit="1" customWidth="1"/>
    <col min="17" max="17" width="11.00390625" style="3" customWidth="1"/>
    <col min="18" max="16384" width="9.140625" style="3" customWidth="1"/>
  </cols>
  <sheetData>
    <row r="1" spans="1:2" ht="69" customHeight="1">
      <c r="A1" s="179" t="s">
        <v>99</v>
      </c>
      <c r="B1" s="179"/>
    </row>
    <row r="2" spans="1:2" ht="34.5">
      <c r="A2" s="179" t="s">
        <v>100</v>
      </c>
      <c r="B2" s="179"/>
    </row>
    <row r="3" spans="1:4" ht="11.25">
      <c r="A3" s="22" t="s">
        <v>93</v>
      </c>
      <c r="D3" s="13"/>
    </row>
    <row r="4" spans="1:8" ht="11.25">
      <c r="A4" s="22"/>
      <c r="D4" s="13"/>
      <c r="F4" s="8"/>
      <c r="G4" s="8"/>
      <c r="H4" s="8"/>
    </row>
    <row r="5" spans="1:13" ht="11.25">
      <c r="A5" s="43" t="s">
        <v>84</v>
      </c>
      <c r="B5" s="23">
        <v>110.57</v>
      </c>
      <c r="C5" s="83"/>
      <c r="D5" s="44"/>
      <c r="E5" s="27"/>
      <c r="M5" s="4"/>
    </row>
    <row r="6" spans="1:13" ht="11.25">
      <c r="A6" s="43" t="s">
        <v>74</v>
      </c>
      <c r="B6" s="43"/>
      <c r="C6" s="25"/>
      <c r="D6" s="44"/>
      <c r="E6" s="27"/>
      <c r="M6" s="4"/>
    </row>
    <row r="7" spans="1:13" ht="11.25">
      <c r="A7" s="43"/>
      <c r="B7" s="43"/>
      <c r="C7" s="25"/>
      <c r="D7" s="44"/>
      <c r="E7" s="27"/>
      <c r="M7" s="4"/>
    </row>
    <row r="8" spans="1:13" ht="12">
      <c r="A8" s="81" t="s">
        <v>81</v>
      </c>
      <c r="B8" s="81"/>
      <c r="C8" s="73"/>
      <c r="D8" s="74"/>
      <c r="E8" s="27"/>
      <c r="I8" s="75"/>
      <c r="M8" s="4"/>
    </row>
    <row r="9" spans="1:13" ht="12">
      <c r="A9" s="82" t="s">
        <v>82</v>
      </c>
      <c r="B9" s="75" t="s">
        <v>71</v>
      </c>
      <c r="C9" s="73" t="s">
        <v>75</v>
      </c>
      <c r="D9" s="74" t="s">
        <v>76</v>
      </c>
      <c r="E9" s="27"/>
      <c r="I9" s="75"/>
      <c r="M9" s="4"/>
    </row>
    <row r="10" spans="1:13" ht="12.75">
      <c r="A10" s="41" t="s">
        <v>78</v>
      </c>
      <c r="B10" s="10">
        <v>0</v>
      </c>
      <c r="C10" s="72">
        <v>0</v>
      </c>
      <c r="D10" s="72">
        <v>0</v>
      </c>
      <c r="E10" s="27"/>
      <c r="I10" s="75"/>
      <c r="M10" s="4"/>
    </row>
    <row r="11" spans="1:13" ht="12.75">
      <c r="A11" s="41" t="s">
        <v>79</v>
      </c>
      <c r="B11" s="23">
        <v>25</v>
      </c>
      <c r="C11" s="72">
        <v>25</v>
      </c>
      <c r="D11" s="44">
        <v>0</v>
      </c>
      <c r="E11" s="44"/>
      <c r="F11" s="10"/>
      <c r="G11" s="10"/>
      <c r="H11" s="10"/>
      <c r="I11" s="10"/>
      <c r="M11" s="4"/>
    </row>
    <row r="12" spans="1:13" ht="12.75">
      <c r="A12" s="41" t="s">
        <v>80</v>
      </c>
      <c r="B12" s="23">
        <v>100</v>
      </c>
      <c r="C12" s="72">
        <v>18</v>
      </c>
      <c r="D12" s="44">
        <v>82</v>
      </c>
      <c r="E12" s="44"/>
      <c r="F12" s="10"/>
      <c r="G12" s="10"/>
      <c r="H12" s="10"/>
      <c r="I12" s="10"/>
      <c r="M12" s="4"/>
    </row>
    <row r="13" spans="1:13" ht="44.25" customHeight="1" thickBot="1">
      <c r="A13" s="23"/>
      <c r="B13" s="24"/>
      <c r="C13" s="25"/>
      <c r="D13" s="26"/>
      <c r="E13" s="27"/>
      <c r="M13" s="4"/>
    </row>
    <row r="14" spans="1:13" ht="80.25" customHeight="1" thickBot="1">
      <c r="A14" s="36" t="s">
        <v>39</v>
      </c>
      <c r="B14" s="37" t="s">
        <v>53</v>
      </c>
      <c r="M14" s="4"/>
    </row>
    <row r="15" spans="1:13" ht="30" customHeight="1">
      <c r="A15" s="28" t="s">
        <v>68</v>
      </c>
      <c r="B15" s="29"/>
      <c r="E15" s="72" t="s">
        <v>77</v>
      </c>
      <c r="M15" s="4"/>
    </row>
    <row r="16" spans="1:13" s="11" customFormat="1" ht="15" customHeight="1">
      <c r="A16" s="30" t="s">
        <v>52</v>
      </c>
      <c r="B16" s="35">
        <v>96.38</v>
      </c>
      <c r="C16" s="6"/>
      <c r="D16" s="6"/>
      <c r="E16" s="3"/>
      <c r="F16" s="3"/>
      <c r="G16" s="3"/>
      <c r="H16" s="3"/>
      <c r="M16" s="12"/>
    </row>
    <row r="17" spans="1:13" s="11" customFormat="1" ht="15" customHeight="1">
      <c r="A17" s="30" t="s">
        <v>60</v>
      </c>
      <c r="B17" s="35">
        <v>24.91</v>
      </c>
      <c r="C17" s="6"/>
      <c r="D17" s="6"/>
      <c r="E17" s="3"/>
      <c r="F17" s="3"/>
      <c r="G17" s="3"/>
      <c r="H17" s="3"/>
      <c r="M17" s="12"/>
    </row>
    <row r="18" spans="1:13" s="11" customFormat="1" ht="15" customHeight="1">
      <c r="A18" s="31" t="s">
        <v>2</v>
      </c>
      <c r="B18" s="35">
        <v>664.29</v>
      </c>
      <c r="C18" s="6"/>
      <c r="D18" s="6"/>
      <c r="E18" s="3"/>
      <c r="F18" s="3"/>
      <c r="G18" s="3"/>
      <c r="H18" s="3"/>
      <c r="M18" s="12"/>
    </row>
    <row r="19" spans="1:13" s="11" customFormat="1" ht="15" customHeight="1">
      <c r="A19" s="32" t="s">
        <v>29</v>
      </c>
      <c r="B19" s="35">
        <v>85.41</v>
      </c>
      <c r="C19" s="6"/>
      <c r="D19" s="6"/>
      <c r="E19" s="3"/>
      <c r="F19" s="3"/>
      <c r="G19" s="3"/>
      <c r="H19" s="3"/>
      <c r="M19" s="12"/>
    </row>
    <row r="20" spans="1:13" s="11" customFormat="1" ht="15" customHeight="1">
      <c r="A20" s="32" t="s">
        <v>5</v>
      </c>
      <c r="B20" s="35">
        <v>24.91</v>
      </c>
      <c r="C20" s="6"/>
      <c r="D20" s="6"/>
      <c r="E20" s="3"/>
      <c r="F20" s="3"/>
      <c r="G20" s="3"/>
      <c r="H20" s="3"/>
      <c r="M20" s="12"/>
    </row>
    <row r="21" spans="1:13" s="11" customFormat="1" ht="15" customHeight="1">
      <c r="A21" s="32" t="s">
        <v>95</v>
      </c>
      <c r="B21" s="35">
        <v>830.91</v>
      </c>
      <c r="C21" s="6"/>
      <c r="D21" s="6"/>
      <c r="E21" s="3"/>
      <c r="F21" s="3"/>
      <c r="G21" s="3"/>
      <c r="H21" s="3"/>
      <c r="M21" s="12"/>
    </row>
    <row r="22" spans="1:13" s="11" customFormat="1" ht="15" customHeight="1">
      <c r="A22" s="32" t="s">
        <v>96</v>
      </c>
      <c r="B22" s="35">
        <v>399.43</v>
      </c>
      <c r="C22" s="6"/>
      <c r="D22" s="6"/>
      <c r="E22" s="3"/>
      <c r="F22" s="3"/>
      <c r="G22" s="3"/>
      <c r="H22" s="3"/>
      <c r="M22" s="12"/>
    </row>
    <row r="23" spans="1:13" s="11" customFormat="1" ht="15" customHeight="1">
      <c r="A23" s="30" t="s">
        <v>83</v>
      </c>
      <c r="B23" s="35">
        <v>19.06</v>
      </c>
      <c r="C23" s="6"/>
      <c r="D23" s="6"/>
      <c r="E23" s="3"/>
      <c r="F23" s="3"/>
      <c r="G23" s="3"/>
      <c r="H23" s="3"/>
      <c r="M23" s="12"/>
    </row>
    <row r="24" spans="1:13" s="11" customFormat="1" ht="15" customHeight="1">
      <c r="A24" s="32" t="s">
        <v>34</v>
      </c>
      <c r="B24" s="35">
        <v>129.3</v>
      </c>
      <c r="C24" s="6"/>
      <c r="D24" s="6"/>
      <c r="E24" s="3"/>
      <c r="F24" s="3"/>
      <c r="G24" s="3"/>
      <c r="H24" s="3"/>
      <c r="M24" s="12"/>
    </row>
    <row r="25" spans="1:13" s="11" customFormat="1" ht="15" customHeight="1">
      <c r="A25" s="32" t="s">
        <v>89</v>
      </c>
      <c r="B25" s="35">
        <v>138.5</v>
      </c>
      <c r="C25" s="6"/>
      <c r="D25" s="6"/>
      <c r="E25" s="3"/>
      <c r="F25" s="3"/>
      <c r="G25" s="3"/>
      <c r="H25" s="3"/>
      <c r="M25" s="12"/>
    </row>
    <row r="26" spans="1:13" s="11" customFormat="1" ht="15" customHeight="1">
      <c r="A26" s="32" t="s">
        <v>86</v>
      </c>
      <c r="B26" s="35">
        <v>23.4</v>
      </c>
      <c r="C26" s="6"/>
      <c r="D26" s="6"/>
      <c r="E26" s="3"/>
      <c r="F26" s="3"/>
      <c r="G26" s="3"/>
      <c r="H26" s="3"/>
      <c r="M26" s="12"/>
    </row>
    <row r="27" spans="1:13" s="11" customFormat="1" ht="15" customHeight="1">
      <c r="A27" s="32" t="s">
        <v>48</v>
      </c>
      <c r="B27" s="35">
        <v>51.01</v>
      </c>
      <c r="C27" s="6"/>
      <c r="D27" s="6"/>
      <c r="E27" s="3"/>
      <c r="F27" s="3"/>
      <c r="G27" s="3"/>
      <c r="H27" s="3"/>
      <c r="M27" s="12"/>
    </row>
    <row r="28" spans="1:13" s="11" customFormat="1" ht="15" customHeight="1">
      <c r="A28" s="30" t="s">
        <v>30</v>
      </c>
      <c r="B28" s="35">
        <v>94.89</v>
      </c>
      <c r="C28" s="6"/>
      <c r="D28" s="6"/>
      <c r="E28" s="3"/>
      <c r="F28" s="3"/>
      <c r="G28" s="3"/>
      <c r="H28" s="3"/>
      <c r="M28" s="12"/>
    </row>
    <row r="29" spans="1:13" s="11" customFormat="1" ht="15" customHeight="1">
      <c r="A29" s="30" t="s">
        <v>31</v>
      </c>
      <c r="B29" s="35">
        <v>24.91</v>
      </c>
      <c r="C29" s="6"/>
      <c r="D29" s="6"/>
      <c r="E29" s="3"/>
      <c r="F29" s="3"/>
      <c r="G29" s="3"/>
      <c r="H29" s="3"/>
      <c r="M29" s="12"/>
    </row>
    <row r="30" spans="1:13" s="11" customFormat="1" ht="15" customHeight="1">
      <c r="A30" s="30" t="s">
        <v>3</v>
      </c>
      <c r="B30" s="35">
        <v>352.31</v>
      </c>
      <c r="C30" s="6"/>
      <c r="D30" s="6"/>
      <c r="E30" s="3"/>
      <c r="F30" s="3"/>
      <c r="G30" s="3"/>
      <c r="H30" s="3"/>
      <c r="M30" s="12"/>
    </row>
    <row r="31" spans="1:13" s="11" customFormat="1" ht="15" customHeight="1">
      <c r="A31" s="30" t="s">
        <v>4</v>
      </c>
      <c r="B31" s="35">
        <v>508.9</v>
      </c>
      <c r="C31" s="6"/>
      <c r="D31" s="6"/>
      <c r="E31" s="3"/>
      <c r="F31" s="3"/>
      <c r="G31" s="3"/>
      <c r="H31" s="3"/>
      <c r="M31" s="12"/>
    </row>
    <row r="32" spans="1:13" s="11" customFormat="1" ht="15" customHeight="1">
      <c r="A32" s="32" t="s">
        <v>32</v>
      </c>
      <c r="B32" s="35">
        <v>29.65</v>
      </c>
      <c r="C32" s="6"/>
      <c r="D32" s="6"/>
      <c r="E32" s="3"/>
      <c r="F32" s="3"/>
      <c r="G32" s="3"/>
      <c r="H32" s="3"/>
      <c r="M32" s="12"/>
    </row>
    <row r="33" spans="1:13" s="11" customFormat="1" ht="15" customHeight="1">
      <c r="A33" s="32" t="s">
        <v>91</v>
      </c>
      <c r="B33" s="35">
        <f>B25</f>
        <v>138.5</v>
      </c>
      <c r="C33" s="6"/>
      <c r="D33" s="6"/>
      <c r="E33" s="3"/>
      <c r="F33" s="3"/>
      <c r="G33" s="3"/>
      <c r="H33" s="3"/>
      <c r="M33" s="12"/>
    </row>
    <row r="34" spans="1:13" s="11" customFormat="1" ht="15" customHeight="1">
      <c r="A34" s="32" t="s">
        <v>92</v>
      </c>
      <c r="B34" s="35">
        <v>20.16</v>
      </c>
      <c r="C34" s="6"/>
      <c r="D34" s="6"/>
      <c r="E34" s="3"/>
      <c r="F34" s="3"/>
      <c r="G34" s="3"/>
      <c r="H34" s="3"/>
      <c r="M34" s="12"/>
    </row>
    <row r="35" spans="1:13" s="11" customFormat="1" ht="15" customHeight="1">
      <c r="A35" s="32" t="s">
        <v>35</v>
      </c>
      <c r="B35" s="35">
        <v>43.89</v>
      </c>
      <c r="C35" s="6"/>
      <c r="D35" s="6"/>
      <c r="E35" s="3"/>
      <c r="F35" s="3"/>
      <c r="G35" s="3"/>
      <c r="H35" s="3"/>
      <c r="M35" s="12"/>
    </row>
    <row r="36" spans="1:13" s="11" customFormat="1" ht="15" customHeight="1">
      <c r="A36" s="32" t="s">
        <v>49</v>
      </c>
      <c r="B36" s="35">
        <v>24.91</v>
      </c>
      <c r="C36" s="6"/>
      <c r="D36" s="6"/>
      <c r="E36" s="3"/>
      <c r="F36" s="3"/>
      <c r="G36" s="3"/>
      <c r="H36" s="3"/>
      <c r="M36" s="12"/>
    </row>
    <row r="37" spans="1:13" s="11" customFormat="1" ht="15" customHeight="1">
      <c r="A37" s="30" t="s">
        <v>6</v>
      </c>
      <c r="B37" s="35">
        <v>24.91</v>
      </c>
      <c r="C37" s="6"/>
      <c r="D37" s="6"/>
      <c r="E37" s="3"/>
      <c r="F37" s="3"/>
      <c r="G37" s="3"/>
      <c r="H37" s="3"/>
      <c r="M37" s="12"/>
    </row>
    <row r="38" spans="1:13" s="11" customFormat="1" ht="15" customHeight="1">
      <c r="A38" s="30" t="s">
        <v>7</v>
      </c>
      <c r="B38" s="35">
        <v>118.62</v>
      </c>
      <c r="C38" s="6"/>
      <c r="D38" s="6"/>
      <c r="E38" s="3"/>
      <c r="F38" s="3"/>
      <c r="G38" s="3"/>
      <c r="H38" s="3"/>
      <c r="M38" s="12"/>
    </row>
    <row r="39" spans="1:13" s="11" customFormat="1" ht="30" customHeight="1">
      <c r="A39" s="33" t="s">
        <v>36</v>
      </c>
      <c r="B39" s="34"/>
      <c r="C39" s="6"/>
      <c r="D39" s="6"/>
      <c r="E39" s="3"/>
      <c r="F39" s="3"/>
      <c r="G39" s="3"/>
      <c r="H39" s="3"/>
      <c r="M39" s="12"/>
    </row>
    <row r="40" spans="1:13" s="11" customFormat="1" ht="15" customHeight="1">
      <c r="A40" s="30" t="s">
        <v>51</v>
      </c>
      <c r="B40" s="35">
        <v>218.27</v>
      </c>
      <c r="C40" s="6"/>
      <c r="D40" s="6"/>
      <c r="E40" s="3"/>
      <c r="F40" s="3"/>
      <c r="G40" s="3"/>
      <c r="H40" s="3"/>
      <c r="M40" s="12"/>
    </row>
    <row r="41" spans="1:13" s="11" customFormat="1" ht="15" customHeight="1">
      <c r="A41" s="30" t="s">
        <v>69</v>
      </c>
      <c r="B41" s="71">
        <f>5*B29+4*B28+B17</f>
        <v>529.02</v>
      </c>
      <c r="C41" s="6"/>
      <c r="D41" s="6"/>
      <c r="E41" s="3"/>
      <c r="F41" s="3"/>
      <c r="G41" s="3"/>
      <c r="H41" s="3"/>
      <c r="M41" s="12"/>
    </row>
    <row r="42" spans="1:13" s="11" customFormat="1" ht="15" customHeight="1">
      <c r="A42" s="32" t="str">
        <f>A25</f>
        <v>Pipette Preparation (CBLB): Break, dry40, sieve &lt;2000u, Remove OM (H2O2), Carbonates (HCl) (Only performed by Lab personnel)</v>
      </c>
      <c r="B42" s="71">
        <f>B25</f>
        <v>138.5</v>
      </c>
      <c r="C42" s="6"/>
      <c r="D42" s="6"/>
      <c r="E42" s="3"/>
      <c r="F42" s="3"/>
      <c r="G42" s="3"/>
      <c r="H42" s="3"/>
      <c r="M42" s="12"/>
    </row>
    <row r="43" spans="1:13" s="11" customFormat="1" ht="15" customHeight="1">
      <c r="A43" s="32" t="s">
        <v>90</v>
      </c>
      <c r="B43" s="71">
        <f>5*B26</f>
        <v>117</v>
      </c>
      <c r="C43" s="6"/>
      <c r="D43" s="6"/>
      <c r="E43" s="3"/>
      <c r="F43" s="3"/>
      <c r="G43" s="3"/>
      <c r="H43" s="3"/>
      <c r="M43" s="12"/>
    </row>
    <row r="44" spans="1:13" s="11" customFormat="1" ht="15" customHeight="1">
      <c r="A44" s="32" t="s">
        <v>37</v>
      </c>
      <c r="B44" s="71">
        <v>444.76</v>
      </c>
      <c r="C44" s="6"/>
      <c r="D44" s="6"/>
      <c r="E44" s="3"/>
      <c r="F44" s="3"/>
      <c r="G44" s="3"/>
      <c r="H44" s="3"/>
      <c r="M44" s="12"/>
    </row>
    <row r="45" spans="1:13" s="11" customFormat="1" ht="15" customHeight="1">
      <c r="A45" s="32" t="s">
        <v>50</v>
      </c>
      <c r="B45" s="71">
        <f>6*B34</f>
        <v>120.96000000000001</v>
      </c>
      <c r="C45" s="6"/>
      <c r="D45" s="6"/>
      <c r="E45" s="3"/>
      <c r="F45" s="3"/>
      <c r="G45" s="3"/>
      <c r="H45" s="3"/>
      <c r="M45" s="12"/>
    </row>
    <row r="46" spans="1:13" s="11" customFormat="1" ht="15" customHeight="1">
      <c r="A46" s="30" t="s">
        <v>94</v>
      </c>
      <c r="B46" s="71">
        <f>5*B29+4*B28+B17+B21+B22/2</f>
        <v>1559.6449999999998</v>
      </c>
      <c r="C46" s="6"/>
      <c r="D46" s="6"/>
      <c r="E46" s="3"/>
      <c r="F46" s="3"/>
      <c r="G46" s="3"/>
      <c r="H46" s="3"/>
      <c r="M46" s="12"/>
    </row>
    <row r="47" spans="1:13" s="11" customFormat="1" ht="15" customHeight="1">
      <c r="A47" s="30" t="s">
        <v>97</v>
      </c>
      <c r="B47" s="71">
        <f>B46+B31+B22/2</f>
        <v>2268.2599999999998</v>
      </c>
      <c r="C47" s="6"/>
      <c r="D47" s="6"/>
      <c r="E47" s="3"/>
      <c r="F47" s="3"/>
      <c r="G47" s="3"/>
      <c r="H47" s="3"/>
      <c r="M47" s="12"/>
    </row>
    <row r="48" spans="1:13" s="11" customFormat="1" ht="15" customHeight="1">
      <c r="A48" s="30" t="s">
        <v>98</v>
      </c>
      <c r="B48" s="71">
        <f>5*B29+4*B28+B17+B21+B22/2+B30+B22/2+B25+5*B26+6*B34+B23</f>
        <v>2507.1899999999996</v>
      </c>
      <c r="C48" s="6"/>
      <c r="D48" s="6"/>
      <c r="E48" s="3"/>
      <c r="F48" s="3"/>
      <c r="G48" s="3"/>
      <c r="H48" s="3"/>
      <c r="M48" s="12"/>
    </row>
    <row r="49" spans="1:13" s="11" customFormat="1" ht="30" customHeight="1">
      <c r="A49" s="33" t="s">
        <v>38</v>
      </c>
      <c r="B49" s="34"/>
      <c r="C49" s="6"/>
      <c r="D49" s="6"/>
      <c r="E49" s="3"/>
      <c r="F49" s="3"/>
      <c r="G49" s="3"/>
      <c r="H49" s="3"/>
      <c r="M49" s="12"/>
    </row>
    <row r="50" spans="1:13" s="11" customFormat="1" ht="12" thickBot="1">
      <c r="A50" s="42" t="s">
        <v>59</v>
      </c>
      <c r="B50" s="38">
        <v>133.14</v>
      </c>
      <c r="C50" s="6"/>
      <c r="D50" s="6"/>
      <c r="E50" s="3"/>
      <c r="F50" s="3"/>
      <c r="G50" s="3"/>
      <c r="H50" s="3"/>
      <c r="M50" s="12"/>
    </row>
    <row r="51" spans="2:13" ht="22.5" customHeight="1">
      <c r="B51" s="10"/>
      <c r="M51" s="4"/>
    </row>
    <row r="52" spans="1:13" ht="12">
      <c r="A52" s="39" t="s">
        <v>54</v>
      </c>
      <c r="M52" s="4"/>
    </row>
    <row r="53" spans="1:13" ht="11.25">
      <c r="A53" s="8" t="s">
        <v>55</v>
      </c>
      <c r="M53" s="4"/>
    </row>
    <row r="54" spans="1:13" ht="11.25">
      <c r="A54" s="8" t="s">
        <v>56</v>
      </c>
      <c r="M54" s="4"/>
    </row>
    <row r="55" spans="1:13" ht="17.25">
      <c r="A55" s="40" t="s">
        <v>57</v>
      </c>
      <c r="M55" s="4"/>
    </row>
    <row r="56" ht="11.25">
      <c r="M56" s="4"/>
    </row>
    <row r="57" ht="11.25">
      <c r="M57" s="4"/>
    </row>
    <row r="59" spans="12:14" ht="11.25">
      <c r="L59" s="8"/>
      <c r="M59" s="8"/>
      <c r="N59" s="8"/>
    </row>
    <row r="60" spans="12:15" ht="11.25">
      <c r="L60" s="7"/>
      <c r="N60" s="6"/>
      <c r="O60" s="9"/>
    </row>
    <row r="61" spans="12:15" ht="11.25">
      <c r="L61" s="7"/>
      <c r="N61" s="6"/>
      <c r="O61" s="9"/>
    </row>
    <row r="62" spans="12:15" ht="11.25">
      <c r="L62" s="7"/>
      <c r="N62" s="6"/>
      <c r="O62" s="9"/>
    </row>
    <row r="63" spans="12:15" ht="11.25">
      <c r="L63" s="7"/>
      <c r="N63" s="6"/>
      <c r="O63" s="9"/>
    </row>
    <row r="64" spans="12:15" ht="11.25">
      <c r="L64" s="7"/>
      <c r="N64" s="6"/>
      <c r="O64" s="9"/>
    </row>
    <row r="65" spans="12:15" ht="11.25">
      <c r="L65" s="7"/>
      <c r="N65" s="6"/>
      <c r="O65" s="9"/>
    </row>
    <row r="66" spans="12:15" ht="11.25">
      <c r="L66" s="7"/>
      <c r="N66" s="6"/>
      <c r="O66" s="9"/>
    </row>
    <row r="67" spans="12:15" ht="11.25">
      <c r="L67" s="7"/>
      <c r="N67" s="6"/>
      <c r="O67" s="9"/>
    </row>
    <row r="68" spans="12:15" ht="11.25">
      <c r="L68" s="7"/>
      <c r="N68" s="6"/>
      <c r="O68" s="9"/>
    </row>
    <row r="69" spans="12:15" ht="11.25">
      <c r="L69" s="7"/>
      <c r="N69" s="6"/>
      <c r="O69" s="9"/>
    </row>
    <row r="70" spans="12:15" ht="11.25">
      <c r="L70" s="7"/>
      <c r="N70" s="6"/>
      <c r="O70" s="9"/>
    </row>
    <row r="71" spans="12:15" ht="11.25">
      <c r="L71" s="7"/>
      <c r="N71" s="6"/>
      <c r="O71" s="9"/>
    </row>
    <row r="72" spans="12:15" ht="11.25">
      <c r="L72" s="7"/>
      <c r="N72" s="6"/>
      <c r="O72" s="9"/>
    </row>
    <row r="73" spans="12:15" ht="11.25">
      <c r="L73" s="7"/>
      <c r="N73" s="6"/>
      <c r="O73" s="9"/>
    </row>
    <row r="74" spans="12:15" ht="11.25">
      <c r="L74" s="7"/>
      <c r="N74" s="6"/>
      <c r="O74" s="9"/>
    </row>
    <row r="75" spans="12:15" ht="11.25">
      <c r="L75" s="7"/>
      <c r="N75" s="6"/>
      <c r="O75" s="9"/>
    </row>
    <row r="76" spans="12:15" ht="11.25">
      <c r="L76" s="7"/>
      <c r="N76" s="6"/>
      <c r="O76" s="9"/>
    </row>
    <row r="77" spans="12:15" ht="11.25">
      <c r="L77" s="7"/>
      <c r="N77" s="6"/>
      <c r="O77" s="9"/>
    </row>
    <row r="78" spans="12:15" ht="11.25">
      <c r="L78" s="7"/>
      <c r="N78" s="6"/>
      <c r="O78" s="9"/>
    </row>
    <row r="79" spans="12:15" ht="11.25">
      <c r="L79" s="7"/>
      <c r="N79" s="6"/>
      <c r="O79" s="9"/>
    </row>
  </sheetData>
  <sheetProtection sheet="1" objects="1" scenarios="1"/>
  <mergeCells count="2">
    <mergeCell ref="A2:B2"/>
    <mergeCell ref="A1:B1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</dc:creator>
  <cp:keywords/>
  <dc:description/>
  <cp:lastModifiedBy>Salanki, Tamas</cp:lastModifiedBy>
  <cp:lastPrinted>2014-04-23T12:40:59Z</cp:lastPrinted>
  <dcterms:created xsi:type="dcterms:W3CDTF">2006-11-30T13:05:02Z</dcterms:created>
  <dcterms:modified xsi:type="dcterms:W3CDTF">2021-04-21T06:24:13Z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