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cumentatie\CGN_Databases\Special_collections\CGNSC002\"/>
    </mc:Choice>
  </mc:AlternateContent>
  <bookViews>
    <workbookView xWindow="270" yWindow="345" windowWidth="14820" windowHeight="10995"/>
  </bookViews>
  <sheets>
    <sheet name="Line data" sheetId="12" r:id="rId1"/>
    <sheet name="Accession data" sheetId="11" r:id="rId2"/>
    <sheet name="Variety registration data" sheetId="10" r:id="rId3"/>
  </sheets>
  <definedNames>
    <definedName name="_xlnm._FilterDatabase" localSheetId="1" hidden="1">'Accession data'!$E$1:$N$450</definedName>
    <definedName name="_xlnm._FilterDatabase" localSheetId="2" hidden="1">'Variety registration data'!#REF!</definedName>
  </definedNames>
  <calcPr calcId="162913"/>
</workbook>
</file>

<file path=xl/calcChain.xml><?xml version="1.0" encoding="utf-8"?>
<calcChain xmlns="http://schemas.openxmlformats.org/spreadsheetml/2006/main">
  <c r="G446" i="12" l="1"/>
  <c r="G443" i="12"/>
  <c r="G435" i="12"/>
  <c r="G433" i="12"/>
  <c r="G432" i="12"/>
  <c r="G431" i="12"/>
  <c r="G430" i="12"/>
  <c r="F446" i="12"/>
  <c r="F443" i="12"/>
  <c r="F435" i="12"/>
  <c r="F433" i="12"/>
  <c r="F432" i="12"/>
  <c r="F431" i="12"/>
  <c r="F430" i="12"/>
  <c r="E446" i="12"/>
  <c r="E443" i="12"/>
  <c r="E435" i="12"/>
  <c r="E433" i="12"/>
  <c r="E432" i="12"/>
  <c r="E431" i="12"/>
  <c r="E430" i="12"/>
  <c r="E434" i="12"/>
  <c r="D446" i="12"/>
  <c r="D445" i="12"/>
  <c r="D444" i="12"/>
  <c r="D443" i="12"/>
  <c r="D442" i="12"/>
  <c r="D441" i="12"/>
  <c r="D440" i="12"/>
  <c r="D439" i="12"/>
  <c r="D438" i="12"/>
  <c r="D437" i="12"/>
  <c r="D436" i="12"/>
  <c r="D435" i="12"/>
  <c r="D434" i="12"/>
  <c r="D433" i="12"/>
  <c r="D432" i="12"/>
  <c r="D431" i="12"/>
  <c r="D430" i="12"/>
  <c r="D429" i="12"/>
  <c r="G450" i="12" l="1"/>
  <c r="F450" i="12"/>
  <c r="E450" i="12"/>
  <c r="G449" i="12"/>
  <c r="F449" i="12"/>
  <c r="E449" i="12"/>
  <c r="D449" i="12"/>
  <c r="G448" i="12"/>
  <c r="F448" i="12"/>
  <c r="E448" i="12"/>
  <c r="D448" i="12"/>
  <c r="G447" i="12"/>
  <c r="F447" i="12"/>
  <c r="E447" i="12"/>
  <c r="D447" i="12"/>
  <c r="G445" i="12"/>
  <c r="F445" i="12"/>
  <c r="E445" i="12"/>
  <c r="G444" i="12"/>
  <c r="F444" i="12"/>
  <c r="E444" i="12"/>
  <c r="G442" i="12"/>
  <c r="F442" i="12"/>
  <c r="E442" i="12"/>
  <c r="G441" i="12"/>
  <c r="F441" i="12"/>
  <c r="E441" i="12"/>
  <c r="G440" i="12"/>
  <c r="F440" i="12"/>
  <c r="E440" i="12"/>
  <c r="G439" i="12"/>
  <c r="E439" i="12"/>
  <c r="G438" i="12"/>
  <c r="F438" i="12"/>
  <c r="E438" i="12"/>
  <c r="G437" i="12"/>
  <c r="F437" i="12"/>
  <c r="E437" i="12"/>
  <c r="G436" i="12"/>
  <c r="E436" i="12"/>
  <c r="G434" i="12"/>
  <c r="F434" i="12"/>
  <c r="G429" i="12"/>
  <c r="E429" i="12"/>
  <c r="G428" i="12"/>
  <c r="F428" i="12"/>
  <c r="E428" i="12"/>
  <c r="D428" i="12"/>
  <c r="G427" i="12"/>
  <c r="F427" i="12"/>
  <c r="E427" i="12"/>
  <c r="D427" i="12"/>
  <c r="G426" i="12"/>
  <c r="F426" i="12"/>
  <c r="E426" i="12"/>
  <c r="D426" i="12"/>
  <c r="G425" i="12"/>
  <c r="F425" i="12"/>
  <c r="E425" i="12"/>
  <c r="D425" i="12"/>
  <c r="G424" i="12"/>
  <c r="F424" i="12"/>
  <c r="E424" i="12"/>
  <c r="D424" i="12"/>
  <c r="G423" i="12"/>
  <c r="F423" i="12"/>
  <c r="E423" i="12"/>
  <c r="D423" i="12"/>
  <c r="G422" i="12"/>
  <c r="F422" i="12"/>
  <c r="E422" i="12"/>
  <c r="D422" i="12"/>
  <c r="G421" i="12"/>
  <c r="F421" i="12"/>
  <c r="E421" i="12"/>
  <c r="D421" i="12"/>
  <c r="G420" i="12"/>
  <c r="E420" i="12"/>
  <c r="D420" i="12"/>
  <c r="G419" i="12"/>
  <c r="F419" i="12"/>
  <c r="E419" i="12"/>
  <c r="D419" i="12"/>
  <c r="G418" i="12"/>
  <c r="F418" i="12"/>
  <c r="E418" i="12"/>
  <c r="D418" i="12"/>
  <c r="G417" i="12"/>
  <c r="F417" i="12"/>
  <c r="E417" i="12"/>
  <c r="D417" i="12"/>
  <c r="G416" i="12"/>
  <c r="F416" i="12"/>
  <c r="E416" i="12"/>
  <c r="D416" i="12"/>
  <c r="G415" i="12"/>
  <c r="F415" i="12"/>
  <c r="E415" i="12"/>
  <c r="D415" i="12"/>
  <c r="G414" i="12"/>
  <c r="F414" i="12"/>
  <c r="E414" i="12"/>
  <c r="D414" i="12"/>
  <c r="G413" i="12"/>
  <c r="E413" i="12"/>
  <c r="D413" i="12"/>
  <c r="G412" i="12"/>
  <c r="F412" i="12"/>
  <c r="E412" i="12"/>
  <c r="D412" i="12"/>
  <c r="G411" i="12"/>
  <c r="E411" i="12"/>
  <c r="D411" i="12"/>
  <c r="G410" i="12"/>
  <c r="F410" i="12"/>
  <c r="E410" i="12"/>
  <c r="D410" i="12"/>
  <c r="G409" i="12"/>
  <c r="F409" i="12"/>
  <c r="E409" i="12"/>
  <c r="D409" i="12"/>
  <c r="G408" i="12"/>
  <c r="F408" i="12"/>
  <c r="E408" i="12"/>
  <c r="D408" i="12"/>
  <c r="G407" i="12"/>
  <c r="F407" i="12"/>
  <c r="E407" i="12"/>
  <c r="D407" i="12"/>
  <c r="G406" i="12"/>
  <c r="F406" i="12"/>
  <c r="E406" i="12"/>
  <c r="D406" i="12"/>
  <c r="G405" i="12"/>
  <c r="F405" i="12"/>
  <c r="E405" i="12"/>
  <c r="D405" i="12"/>
  <c r="G404" i="12"/>
  <c r="E404" i="12"/>
  <c r="D404" i="12"/>
  <c r="G403" i="12"/>
  <c r="F403" i="12"/>
  <c r="E403" i="12"/>
  <c r="D403" i="12"/>
  <c r="G402" i="12"/>
  <c r="F402" i="12"/>
  <c r="E402" i="12"/>
  <c r="D402" i="12"/>
  <c r="G401" i="12"/>
  <c r="F401" i="12"/>
  <c r="E401" i="12"/>
  <c r="D401" i="12"/>
  <c r="G400" i="12"/>
  <c r="F400" i="12"/>
  <c r="E400" i="12"/>
  <c r="D400" i="12"/>
  <c r="G399" i="12"/>
  <c r="F399" i="12"/>
  <c r="E399" i="12"/>
  <c r="D399" i="12"/>
  <c r="G398" i="12"/>
  <c r="F398" i="12"/>
  <c r="E398" i="12"/>
  <c r="D398" i="12"/>
  <c r="G397" i="12"/>
  <c r="E397" i="12"/>
  <c r="D397" i="12"/>
  <c r="G396" i="12"/>
  <c r="F396" i="12"/>
  <c r="E396" i="12"/>
  <c r="D396" i="12"/>
  <c r="G395" i="12"/>
  <c r="F395" i="12"/>
  <c r="E395" i="12"/>
  <c r="D395" i="12"/>
  <c r="G394" i="12"/>
  <c r="F394" i="12"/>
  <c r="E394" i="12"/>
  <c r="D394" i="12"/>
  <c r="G393" i="12"/>
  <c r="F393" i="12"/>
  <c r="E393" i="12"/>
  <c r="D393" i="12"/>
  <c r="G392" i="12"/>
  <c r="F392" i="12"/>
  <c r="E392" i="12"/>
  <c r="D392" i="12"/>
  <c r="G391" i="12"/>
  <c r="F391" i="12"/>
  <c r="E391" i="12"/>
  <c r="D391" i="12"/>
  <c r="G390" i="12"/>
  <c r="F390" i="12"/>
  <c r="E390" i="12"/>
  <c r="D390" i="12"/>
  <c r="G389" i="12"/>
  <c r="F389" i="12"/>
  <c r="E389" i="12"/>
  <c r="D389" i="12"/>
  <c r="G388" i="12"/>
  <c r="F388" i="12"/>
  <c r="E388" i="12"/>
  <c r="D388" i="12"/>
  <c r="G387" i="12"/>
  <c r="F387" i="12"/>
  <c r="E387" i="12"/>
  <c r="D387" i="12"/>
  <c r="G386" i="12"/>
  <c r="E386" i="12"/>
  <c r="D386" i="12"/>
  <c r="G385" i="12"/>
  <c r="F385" i="12"/>
  <c r="E385" i="12"/>
  <c r="D385" i="12"/>
  <c r="G384" i="12"/>
  <c r="F384" i="12"/>
  <c r="E384" i="12"/>
  <c r="D384" i="12"/>
  <c r="G383" i="12"/>
  <c r="F383" i="12"/>
  <c r="E383" i="12"/>
  <c r="D383" i="12"/>
  <c r="G382" i="12"/>
  <c r="F382" i="12"/>
  <c r="E382" i="12"/>
  <c r="D382" i="12"/>
  <c r="G381" i="12"/>
  <c r="F381" i="12"/>
  <c r="E381" i="12"/>
  <c r="D381" i="12"/>
  <c r="G380" i="12"/>
  <c r="F380" i="12"/>
  <c r="E380" i="12"/>
  <c r="D380" i="12"/>
  <c r="G379" i="12"/>
  <c r="F379" i="12"/>
  <c r="E379" i="12"/>
  <c r="D379" i="12"/>
  <c r="G378" i="12"/>
  <c r="F378" i="12"/>
  <c r="E378" i="12"/>
  <c r="D378" i="12"/>
  <c r="G377" i="12"/>
  <c r="F377" i="12"/>
  <c r="E377" i="12"/>
  <c r="D377" i="12"/>
  <c r="G376" i="12"/>
  <c r="F376" i="12"/>
  <c r="E376" i="12"/>
  <c r="D376" i="12"/>
  <c r="G375" i="12"/>
  <c r="F375" i="12"/>
  <c r="E375" i="12"/>
  <c r="D375" i="12"/>
  <c r="G374" i="12"/>
  <c r="F374" i="12"/>
  <c r="E374" i="12"/>
  <c r="D374" i="12"/>
  <c r="G373" i="12"/>
  <c r="F373" i="12"/>
  <c r="E373" i="12"/>
  <c r="D373" i="12"/>
  <c r="G372" i="12"/>
  <c r="F372" i="12"/>
  <c r="E372" i="12"/>
  <c r="D372" i="12"/>
  <c r="G371" i="12"/>
  <c r="E371" i="12"/>
  <c r="D371" i="12"/>
  <c r="G370" i="12"/>
  <c r="E370" i="12"/>
  <c r="D370" i="12"/>
  <c r="G369" i="12"/>
  <c r="E369" i="12"/>
  <c r="D369" i="12"/>
  <c r="G368" i="12"/>
  <c r="E368" i="12"/>
  <c r="D368" i="12"/>
  <c r="G367" i="12"/>
  <c r="E367" i="12"/>
  <c r="D367" i="12"/>
  <c r="G366" i="12"/>
  <c r="F366" i="12"/>
  <c r="E366" i="12"/>
  <c r="D366" i="12"/>
  <c r="G365" i="12"/>
  <c r="F365" i="12"/>
  <c r="E365" i="12"/>
  <c r="D365" i="12"/>
  <c r="G364" i="12"/>
  <c r="E364" i="12"/>
  <c r="D364" i="12"/>
  <c r="G363" i="12"/>
  <c r="F363" i="12"/>
  <c r="E363" i="12"/>
  <c r="D363" i="12"/>
  <c r="G362" i="12"/>
  <c r="F362" i="12"/>
  <c r="E362" i="12"/>
  <c r="D362" i="12"/>
  <c r="G361" i="12"/>
  <c r="F361" i="12"/>
  <c r="E361" i="12"/>
  <c r="D361" i="12"/>
  <c r="G360" i="12"/>
  <c r="F360" i="12"/>
  <c r="E360" i="12"/>
  <c r="D360" i="12"/>
  <c r="G359" i="12"/>
  <c r="F359" i="12"/>
  <c r="E359" i="12"/>
  <c r="D359" i="12"/>
  <c r="G358" i="12"/>
  <c r="E358" i="12"/>
  <c r="D358" i="12"/>
  <c r="G357" i="12"/>
  <c r="E357" i="12"/>
  <c r="D357" i="12"/>
  <c r="G356" i="12"/>
  <c r="F356" i="12"/>
  <c r="E356" i="12"/>
  <c r="D356" i="12"/>
  <c r="G355" i="12"/>
  <c r="E355" i="12"/>
  <c r="D355" i="12"/>
  <c r="G354" i="12"/>
  <c r="F354" i="12"/>
  <c r="E354" i="12"/>
  <c r="D354" i="12"/>
  <c r="G353" i="12"/>
  <c r="E353" i="12"/>
  <c r="D353" i="12"/>
  <c r="G352" i="12"/>
  <c r="F352" i="12"/>
  <c r="E352" i="12"/>
  <c r="D352" i="12"/>
  <c r="G351" i="12"/>
  <c r="E351" i="12"/>
  <c r="D351" i="12"/>
  <c r="G350" i="12"/>
  <c r="E350" i="12"/>
  <c r="D350" i="12"/>
  <c r="G349" i="12"/>
  <c r="F349" i="12"/>
  <c r="E349" i="12"/>
  <c r="D349" i="12"/>
  <c r="G348" i="12"/>
  <c r="E348" i="12"/>
  <c r="D348" i="12"/>
  <c r="G347" i="12"/>
  <c r="E347" i="12"/>
  <c r="D347" i="12"/>
  <c r="G346" i="12"/>
  <c r="E346" i="12"/>
  <c r="D346" i="12"/>
  <c r="G345" i="12"/>
  <c r="F345" i="12"/>
  <c r="E345" i="12"/>
  <c r="D345" i="12"/>
  <c r="G344" i="12"/>
  <c r="F344" i="12"/>
  <c r="E344" i="12"/>
  <c r="D344" i="12"/>
  <c r="G343" i="12"/>
  <c r="E343" i="12"/>
  <c r="D343" i="12"/>
  <c r="G342" i="12"/>
  <c r="E342" i="12"/>
  <c r="D342" i="12"/>
  <c r="G341" i="12"/>
  <c r="F341" i="12"/>
  <c r="E341" i="12"/>
  <c r="D341" i="12"/>
  <c r="G340" i="12"/>
  <c r="F340" i="12"/>
  <c r="E340" i="12"/>
  <c r="D340" i="12"/>
  <c r="G339" i="12"/>
  <c r="F339" i="12"/>
  <c r="E339" i="12"/>
  <c r="D339" i="12"/>
  <c r="G338" i="12"/>
  <c r="E338" i="12"/>
  <c r="D338" i="12"/>
  <c r="G337" i="12"/>
  <c r="E337" i="12"/>
  <c r="D337" i="12"/>
  <c r="G336" i="12"/>
  <c r="F336" i="12"/>
  <c r="E336" i="12"/>
  <c r="D336" i="12"/>
  <c r="G335" i="12"/>
  <c r="F335" i="12"/>
  <c r="E335" i="12"/>
  <c r="D335" i="12"/>
  <c r="G334" i="12"/>
  <c r="E334" i="12"/>
  <c r="D334" i="12"/>
  <c r="G333" i="12"/>
  <c r="F333" i="12"/>
  <c r="E333" i="12"/>
  <c r="D333" i="12"/>
  <c r="G332" i="12"/>
  <c r="F332" i="12"/>
  <c r="E332" i="12"/>
  <c r="D332" i="12"/>
  <c r="G331" i="12"/>
  <c r="F331" i="12"/>
  <c r="E331" i="12"/>
  <c r="D331" i="12"/>
  <c r="G330" i="12"/>
  <c r="F330" i="12"/>
  <c r="E330" i="12"/>
  <c r="D330" i="12"/>
  <c r="G329" i="12"/>
  <c r="F329" i="12"/>
  <c r="E329" i="12"/>
  <c r="D329" i="12"/>
  <c r="G328" i="12"/>
  <c r="F328" i="12"/>
  <c r="E328" i="12"/>
  <c r="D328" i="12"/>
  <c r="G327" i="12"/>
  <c r="F327" i="12"/>
  <c r="E327" i="12"/>
  <c r="D327" i="12"/>
  <c r="G326" i="12"/>
  <c r="E326" i="12"/>
  <c r="D326" i="12"/>
  <c r="G325" i="12"/>
  <c r="F325" i="12"/>
  <c r="E325" i="12"/>
  <c r="D325" i="12"/>
  <c r="G324" i="12"/>
  <c r="F324" i="12"/>
  <c r="E324" i="12"/>
  <c r="D324" i="12"/>
  <c r="G323" i="12"/>
  <c r="E323" i="12"/>
  <c r="D323" i="12"/>
  <c r="G322" i="12"/>
  <c r="F322" i="12"/>
  <c r="E322" i="12"/>
  <c r="D322" i="12"/>
  <c r="G321" i="12"/>
  <c r="F321" i="12"/>
  <c r="E321" i="12"/>
  <c r="D321" i="12"/>
  <c r="G320" i="12"/>
  <c r="F320" i="12"/>
  <c r="E320" i="12"/>
  <c r="D320" i="12"/>
  <c r="G319" i="12"/>
  <c r="F319" i="12"/>
  <c r="E319" i="12"/>
  <c r="D319" i="12"/>
  <c r="G318" i="12"/>
  <c r="F318" i="12"/>
  <c r="E318" i="12"/>
  <c r="D318" i="12"/>
  <c r="G317" i="12"/>
  <c r="F317" i="12"/>
  <c r="E317" i="12"/>
  <c r="D317" i="12"/>
  <c r="G316" i="12"/>
  <c r="E316" i="12"/>
  <c r="D316" i="12"/>
  <c r="G315" i="12"/>
  <c r="E315" i="12"/>
  <c r="D315" i="12"/>
  <c r="G314" i="12"/>
  <c r="F314" i="12"/>
  <c r="E314" i="12"/>
  <c r="D314" i="12"/>
  <c r="G313" i="12"/>
  <c r="F313" i="12"/>
  <c r="E313" i="12"/>
  <c r="D313" i="12"/>
  <c r="G312" i="12"/>
  <c r="E312" i="12"/>
  <c r="D312" i="12"/>
  <c r="G311" i="12"/>
  <c r="E311" i="12"/>
  <c r="D311" i="12"/>
  <c r="G310" i="12"/>
  <c r="F310" i="12"/>
  <c r="E310" i="12"/>
  <c r="D310" i="12"/>
  <c r="G309" i="12"/>
  <c r="F309" i="12"/>
  <c r="E309" i="12"/>
  <c r="D309" i="12"/>
  <c r="G308" i="12"/>
  <c r="F308" i="12"/>
  <c r="E308" i="12"/>
  <c r="D308" i="12"/>
  <c r="G307" i="12"/>
  <c r="E307" i="12"/>
  <c r="D307" i="12"/>
  <c r="G306" i="12"/>
  <c r="E306" i="12"/>
  <c r="D306" i="12"/>
  <c r="G305" i="12"/>
  <c r="F305" i="12"/>
  <c r="E305" i="12"/>
  <c r="D305" i="12"/>
  <c r="G304" i="12"/>
  <c r="F304" i="12"/>
  <c r="E304" i="12"/>
  <c r="D304" i="12"/>
  <c r="G303" i="12"/>
  <c r="E303" i="12"/>
  <c r="D303" i="12"/>
  <c r="G302" i="12"/>
  <c r="F302" i="12"/>
  <c r="E302" i="12"/>
  <c r="D302" i="12"/>
  <c r="G301" i="12"/>
  <c r="F301" i="12"/>
  <c r="E301" i="12"/>
  <c r="D301" i="12"/>
  <c r="G300" i="12"/>
  <c r="F300" i="12"/>
  <c r="E300" i="12"/>
  <c r="D300" i="12"/>
  <c r="G299" i="12"/>
  <c r="E299" i="12"/>
  <c r="D299" i="12"/>
  <c r="G298" i="12"/>
  <c r="F298" i="12"/>
  <c r="E298" i="12"/>
  <c r="D298" i="12"/>
  <c r="G297" i="12"/>
  <c r="F297" i="12"/>
  <c r="E297" i="12"/>
  <c r="D297" i="12"/>
  <c r="G296" i="12"/>
  <c r="F296" i="12"/>
  <c r="E296" i="12"/>
  <c r="D296" i="12"/>
  <c r="G295" i="12"/>
  <c r="F295" i="12"/>
  <c r="E295" i="12"/>
  <c r="D295" i="12"/>
  <c r="G294" i="12"/>
  <c r="F294" i="12"/>
  <c r="E294" i="12"/>
  <c r="D294" i="12"/>
  <c r="G293" i="12"/>
  <c r="F293" i="12"/>
  <c r="E293" i="12"/>
  <c r="D293" i="12"/>
  <c r="G292" i="12"/>
  <c r="F292" i="12"/>
  <c r="E292" i="12"/>
  <c r="D292" i="12"/>
  <c r="G291" i="12"/>
  <c r="E291" i="12"/>
  <c r="D291" i="12"/>
  <c r="G290" i="12"/>
  <c r="F290" i="12"/>
  <c r="E290" i="12"/>
  <c r="D290" i="12"/>
  <c r="G289" i="12"/>
  <c r="E289" i="12"/>
  <c r="D289" i="12"/>
  <c r="G288" i="12"/>
  <c r="F288" i="12"/>
  <c r="E288" i="12"/>
  <c r="D288" i="12"/>
  <c r="G287" i="12"/>
  <c r="E287" i="12"/>
  <c r="D287" i="12"/>
  <c r="G286" i="12"/>
  <c r="F286" i="12"/>
  <c r="E286" i="12"/>
  <c r="D286" i="12"/>
  <c r="G285" i="12"/>
  <c r="F285" i="12"/>
  <c r="E285" i="12"/>
  <c r="D285" i="12"/>
  <c r="G284" i="12"/>
  <c r="F284" i="12"/>
  <c r="E284" i="12"/>
  <c r="D284" i="12"/>
  <c r="G283" i="12"/>
  <c r="E283" i="12"/>
  <c r="D283" i="12"/>
  <c r="G282" i="12"/>
  <c r="F282" i="12"/>
  <c r="E282" i="12"/>
  <c r="D282" i="12"/>
  <c r="G281" i="12"/>
  <c r="F281" i="12"/>
  <c r="E281" i="12"/>
  <c r="D281" i="12"/>
  <c r="G280" i="12"/>
  <c r="E280" i="12"/>
  <c r="D280" i="12"/>
  <c r="G279" i="12"/>
  <c r="F279" i="12"/>
  <c r="E279" i="12"/>
  <c r="D279" i="12"/>
  <c r="G278" i="12"/>
  <c r="F278" i="12"/>
  <c r="E278" i="12"/>
  <c r="D278" i="12"/>
  <c r="G277" i="12"/>
  <c r="F277" i="12"/>
  <c r="E277" i="12"/>
  <c r="D277" i="12"/>
  <c r="G276" i="12"/>
  <c r="E276" i="12"/>
  <c r="D276" i="12"/>
  <c r="G275" i="12"/>
  <c r="E275" i="12"/>
  <c r="D275" i="12"/>
  <c r="G274" i="12"/>
  <c r="F274" i="12"/>
  <c r="E274" i="12"/>
  <c r="D274" i="12"/>
  <c r="G273" i="12"/>
  <c r="E273" i="12"/>
  <c r="D273" i="12"/>
  <c r="G272" i="12"/>
  <c r="E272" i="12"/>
  <c r="D272" i="12"/>
  <c r="G271" i="12"/>
  <c r="E271" i="12"/>
  <c r="D271" i="12"/>
  <c r="G270" i="12"/>
  <c r="F270" i="12"/>
  <c r="E270" i="12"/>
  <c r="D270" i="12"/>
  <c r="G269" i="12"/>
  <c r="E269" i="12"/>
  <c r="D269" i="12"/>
  <c r="G268" i="12"/>
  <c r="E268" i="12"/>
  <c r="D268" i="12"/>
  <c r="G267" i="12"/>
  <c r="E267" i="12"/>
  <c r="D267" i="12"/>
  <c r="G266" i="12"/>
  <c r="E266" i="12"/>
  <c r="D266" i="12"/>
  <c r="G265" i="12"/>
  <c r="E265" i="12"/>
  <c r="D265" i="12"/>
  <c r="G264" i="12"/>
  <c r="E264" i="12"/>
  <c r="D264" i="12"/>
  <c r="G263" i="12"/>
  <c r="F263" i="12"/>
  <c r="E263" i="12"/>
  <c r="D263" i="12"/>
  <c r="G262" i="12"/>
  <c r="E262" i="12"/>
  <c r="D262" i="12"/>
  <c r="G261" i="12"/>
  <c r="F261" i="12"/>
  <c r="E261" i="12"/>
  <c r="D261" i="12"/>
  <c r="G260" i="12"/>
  <c r="F260" i="12"/>
  <c r="E260" i="12"/>
  <c r="D260" i="12"/>
  <c r="G259" i="12"/>
  <c r="E259" i="12"/>
  <c r="D259" i="12"/>
  <c r="G258" i="12"/>
  <c r="E258" i="12"/>
  <c r="D258" i="12"/>
  <c r="G257" i="12"/>
  <c r="F257" i="12"/>
  <c r="E257" i="12"/>
  <c r="D257" i="12"/>
  <c r="G256" i="12"/>
  <c r="E256" i="12"/>
  <c r="D256" i="12"/>
  <c r="G255" i="12"/>
  <c r="F255" i="12"/>
  <c r="E255" i="12"/>
  <c r="D255" i="12"/>
  <c r="G254" i="12"/>
  <c r="F254" i="12"/>
  <c r="E254" i="12"/>
  <c r="D254" i="12"/>
  <c r="G253" i="12"/>
  <c r="E253" i="12"/>
  <c r="D253" i="12"/>
  <c r="G252" i="12"/>
  <c r="E252" i="12"/>
  <c r="D252" i="12"/>
  <c r="G251" i="12"/>
  <c r="F251" i="12"/>
  <c r="E251" i="12"/>
  <c r="D251" i="12"/>
  <c r="G250" i="12"/>
  <c r="E250" i="12"/>
  <c r="D250" i="12"/>
  <c r="G249" i="12"/>
  <c r="F249" i="12"/>
  <c r="E249" i="12"/>
  <c r="D249" i="12"/>
  <c r="G248" i="12"/>
  <c r="F248" i="12"/>
  <c r="E248" i="12"/>
  <c r="D248" i="12"/>
  <c r="G247" i="12"/>
  <c r="F247" i="12"/>
  <c r="E247" i="12"/>
  <c r="D247" i="12"/>
  <c r="G246" i="12"/>
  <c r="F246" i="12"/>
  <c r="E246" i="12"/>
  <c r="D246" i="12"/>
  <c r="G245" i="12"/>
  <c r="F245" i="12"/>
  <c r="E245" i="12"/>
  <c r="D245" i="12"/>
  <c r="G244" i="12"/>
  <c r="F244" i="12"/>
  <c r="E244" i="12"/>
  <c r="D244" i="12"/>
  <c r="G243" i="12"/>
  <c r="E243" i="12"/>
  <c r="D243" i="12"/>
  <c r="G242" i="12"/>
  <c r="F242" i="12"/>
  <c r="E242" i="12"/>
  <c r="D242" i="12"/>
  <c r="G241" i="12"/>
  <c r="F241" i="12"/>
  <c r="E241" i="12"/>
  <c r="D241" i="12"/>
  <c r="G240" i="12"/>
  <c r="F240" i="12"/>
  <c r="E240" i="12"/>
  <c r="D240" i="12"/>
  <c r="G239" i="12"/>
  <c r="F239" i="12"/>
  <c r="E239" i="12"/>
  <c r="D239" i="12"/>
  <c r="G238" i="12"/>
  <c r="F238" i="12"/>
  <c r="E238" i="12"/>
  <c r="D238" i="12"/>
  <c r="G237" i="12"/>
  <c r="F237" i="12"/>
  <c r="E237" i="12"/>
  <c r="D237" i="12"/>
  <c r="G236" i="12"/>
  <c r="E236" i="12"/>
  <c r="D236" i="12"/>
  <c r="G235" i="12"/>
  <c r="F235" i="12"/>
  <c r="E235" i="12"/>
  <c r="D235" i="12"/>
  <c r="G234" i="12"/>
  <c r="F234" i="12"/>
  <c r="E234" i="12"/>
  <c r="D234" i="12"/>
  <c r="G233" i="12"/>
  <c r="F233" i="12"/>
  <c r="E233" i="12"/>
  <c r="D233" i="12"/>
  <c r="G232" i="12"/>
  <c r="F232" i="12"/>
  <c r="E232" i="12"/>
  <c r="D232" i="12"/>
  <c r="G231" i="12"/>
  <c r="F231" i="12"/>
  <c r="E231" i="12"/>
  <c r="D231" i="12"/>
  <c r="G230" i="12"/>
  <c r="F230" i="12"/>
  <c r="E230" i="12"/>
  <c r="D230" i="12"/>
  <c r="G229" i="12"/>
  <c r="E229" i="12"/>
  <c r="D229" i="12"/>
  <c r="G228" i="12"/>
  <c r="F228" i="12"/>
  <c r="E228" i="12"/>
  <c r="D228" i="12"/>
  <c r="G227" i="12"/>
  <c r="E227" i="12"/>
  <c r="D227" i="12"/>
  <c r="G226" i="12"/>
  <c r="E226" i="12"/>
  <c r="D226" i="12"/>
  <c r="G225" i="12"/>
  <c r="F225" i="12"/>
  <c r="E225" i="12"/>
  <c r="D225" i="12"/>
  <c r="G224" i="12"/>
  <c r="F224" i="12"/>
  <c r="E224" i="12"/>
  <c r="D224" i="12"/>
  <c r="G223" i="12"/>
  <c r="F223" i="12"/>
  <c r="E223" i="12"/>
  <c r="D223" i="12"/>
  <c r="G222" i="12"/>
  <c r="E222" i="12"/>
  <c r="D222" i="12"/>
  <c r="G221" i="12"/>
  <c r="E221" i="12"/>
  <c r="D221" i="12"/>
  <c r="G220" i="12"/>
  <c r="F220" i="12"/>
  <c r="E220" i="12"/>
  <c r="D220" i="12"/>
  <c r="G219" i="12"/>
  <c r="F219" i="12"/>
  <c r="E219" i="12"/>
  <c r="D219" i="12"/>
  <c r="G218" i="12"/>
  <c r="F218" i="12"/>
  <c r="E218" i="12"/>
  <c r="D218" i="12"/>
  <c r="G217" i="12"/>
  <c r="E217" i="12"/>
  <c r="D217" i="12"/>
  <c r="G216" i="12"/>
  <c r="F216" i="12"/>
  <c r="E216" i="12"/>
  <c r="D216" i="12"/>
  <c r="G215" i="12"/>
  <c r="E215" i="12"/>
  <c r="D215" i="12"/>
  <c r="G214" i="12"/>
  <c r="F214" i="12"/>
  <c r="E214" i="12"/>
  <c r="D214" i="12"/>
  <c r="G213" i="12"/>
  <c r="E213" i="12"/>
  <c r="D213" i="12"/>
  <c r="G212" i="12"/>
  <c r="F212" i="12"/>
  <c r="E212" i="12"/>
  <c r="D212" i="12"/>
  <c r="G211" i="12"/>
  <c r="F211" i="12"/>
  <c r="E211" i="12"/>
  <c r="D211" i="12"/>
  <c r="G210" i="12"/>
  <c r="F210" i="12"/>
  <c r="E210" i="12"/>
  <c r="D210" i="12"/>
  <c r="G209" i="12"/>
  <c r="F209" i="12"/>
  <c r="E209" i="12"/>
  <c r="D209" i="12"/>
  <c r="G208" i="12"/>
  <c r="F208" i="12"/>
  <c r="E208" i="12"/>
  <c r="D208" i="12"/>
  <c r="G207" i="12"/>
  <c r="F207" i="12"/>
  <c r="E207" i="12"/>
  <c r="D207" i="12"/>
  <c r="G206" i="12"/>
  <c r="F206" i="12"/>
  <c r="E206" i="12"/>
  <c r="D206" i="12"/>
  <c r="G205" i="12"/>
  <c r="F205" i="12"/>
  <c r="E205" i="12"/>
  <c r="D205" i="12"/>
  <c r="G204" i="12"/>
  <c r="F204" i="12"/>
  <c r="E204" i="12"/>
  <c r="D204" i="12"/>
  <c r="G203" i="12"/>
  <c r="E203" i="12"/>
  <c r="D203" i="12"/>
  <c r="G202" i="12"/>
  <c r="F202" i="12"/>
  <c r="E202" i="12"/>
  <c r="D202" i="12"/>
  <c r="G201" i="12"/>
  <c r="F201" i="12"/>
  <c r="E201" i="12"/>
  <c r="D201" i="12"/>
  <c r="G200" i="12"/>
  <c r="F200" i="12"/>
  <c r="E200" i="12"/>
  <c r="D200" i="12"/>
  <c r="G199" i="12"/>
  <c r="F199" i="12"/>
  <c r="E199" i="12"/>
  <c r="D199" i="12"/>
  <c r="G198" i="12"/>
  <c r="F198" i="12"/>
  <c r="E198" i="12"/>
  <c r="D198" i="12"/>
  <c r="G197" i="12"/>
  <c r="E197" i="12"/>
  <c r="D197" i="12"/>
  <c r="G196" i="12"/>
  <c r="F196" i="12"/>
  <c r="E196" i="12"/>
  <c r="D196" i="12"/>
  <c r="G195" i="12"/>
  <c r="F195" i="12"/>
  <c r="E195" i="12"/>
  <c r="D195" i="12"/>
  <c r="G194" i="12"/>
  <c r="F194" i="12"/>
  <c r="E194" i="12"/>
  <c r="D194" i="12"/>
  <c r="G193" i="12"/>
  <c r="F193" i="12"/>
  <c r="E193" i="12"/>
  <c r="D193" i="12"/>
  <c r="G192" i="12"/>
  <c r="F192" i="12"/>
  <c r="E192" i="12"/>
  <c r="D192" i="12"/>
  <c r="G191" i="12"/>
  <c r="F191" i="12"/>
  <c r="E191" i="12"/>
  <c r="D191" i="12"/>
  <c r="G190" i="12"/>
  <c r="E190" i="12"/>
  <c r="D190" i="12"/>
  <c r="G189" i="12"/>
  <c r="F189" i="12"/>
  <c r="E189" i="12"/>
  <c r="D189" i="12"/>
  <c r="G188" i="12"/>
  <c r="F188" i="12"/>
  <c r="E188" i="12"/>
  <c r="D188" i="12"/>
  <c r="G187" i="12"/>
  <c r="F187" i="12"/>
  <c r="E187" i="12"/>
  <c r="D187" i="12"/>
  <c r="G186" i="12"/>
  <c r="E186" i="12"/>
  <c r="D186" i="12"/>
  <c r="G185" i="12"/>
  <c r="F185" i="12"/>
  <c r="E185" i="12"/>
  <c r="D185" i="12"/>
  <c r="G184" i="12"/>
  <c r="E184" i="12"/>
  <c r="D184" i="12"/>
  <c r="G183" i="12"/>
  <c r="F183" i="12"/>
  <c r="E183" i="12"/>
  <c r="D183" i="12"/>
  <c r="G182" i="12"/>
  <c r="F182" i="12"/>
  <c r="E182" i="12"/>
  <c r="D182" i="12"/>
  <c r="G181" i="12"/>
  <c r="F181" i="12"/>
  <c r="E181" i="12"/>
  <c r="D181" i="12"/>
  <c r="G180" i="12"/>
  <c r="F180" i="12"/>
  <c r="E180" i="12"/>
  <c r="D180" i="12"/>
  <c r="G179" i="12"/>
  <c r="E179" i="12"/>
  <c r="D179" i="12"/>
  <c r="G178" i="12"/>
  <c r="F178" i="12"/>
  <c r="E178" i="12"/>
  <c r="D178" i="12"/>
  <c r="G177" i="12"/>
  <c r="E177" i="12"/>
  <c r="D177" i="12"/>
  <c r="G176" i="12"/>
  <c r="F176" i="12"/>
  <c r="E176" i="12"/>
  <c r="D176" i="12"/>
  <c r="G175" i="12"/>
  <c r="F175" i="12"/>
  <c r="E175" i="12"/>
  <c r="D175" i="12"/>
  <c r="G174" i="12"/>
  <c r="F174" i="12"/>
  <c r="E174" i="12"/>
  <c r="D174" i="12"/>
  <c r="G173" i="12"/>
  <c r="F173" i="12"/>
  <c r="E173" i="12"/>
  <c r="D173" i="12"/>
  <c r="G172" i="12"/>
  <c r="F172" i="12"/>
  <c r="E172" i="12"/>
  <c r="D172" i="12"/>
  <c r="G171" i="12"/>
  <c r="E171" i="12"/>
  <c r="D171" i="12"/>
  <c r="G170" i="12"/>
  <c r="F170" i="12"/>
  <c r="E170" i="12"/>
  <c r="D170" i="12"/>
  <c r="G169" i="12"/>
  <c r="E169" i="12"/>
  <c r="D169" i="12"/>
  <c r="G168" i="12"/>
  <c r="F168" i="12"/>
  <c r="E168" i="12"/>
  <c r="D168" i="12"/>
  <c r="G167" i="12"/>
  <c r="F167" i="12"/>
  <c r="E167" i="12"/>
  <c r="D167" i="12"/>
  <c r="G166" i="12"/>
  <c r="E166" i="12"/>
  <c r="D166" i="12"/>
  <c r="G165" i="12"/>
  <c r="E165" i="12"/>
  <c r="D165" i="12"/>
  <c r="G164" i="12"/>
  <c r="F164" i="12"/>
  <c r="E164" i="12"/>
  <c r="D164" i="12"/>
  <c r="G163" i="12"/>
  <c r="F163" i="12"/>
  <c r="E163" i="12"/>
  <c r="D163" i="12"/>
  <c r="G162" i="12"/>
  <c r="F162" i="12"/>
  <c r="E162" i="12"/>
  <c r="D162" i="12"/>
  <c r="G161" i="12"/>
  <c r="F161" i="12"/>
  <c r="E161" i="12"/>
  <c r="D161" i="12"/>
  <c r="G160" i="12"/>
  <c r="E160" i="12"/>
  <c r="D160" i="12"/>
  <c r="G159" i="12"/>
  <c r="F159" i="12"/>
  <c r="E159" i="12"/>
  <c r="D159" i="12"/>
  <c r="G158" i="12"/>
  <c r="F158" i="12"/>
  <c r="E158" i="12"/>
  <c r="D158" i="12"/>
  <c r="G157" i="12"/>
  <c r="F157" i="12"/>
  <c r="E157" i="12"/>
  <c r="D157" i="12"/>
  <c r="G156" i="12"/>
  <c r="F156" i="12"/>
  <c r="E156" i="12"/>
  <c r="D156" i="12"/>
  <c r="G155" i="12"/>
  <c r="F155" i="12"/>
  <c r="E155" i="12"/>
  <c r="D155" i="12"/>
  <c r="G154" i="12"/>
  <c r="F154" i="12"/>
  <c r="E154" i="12"/>
  <c r="D154" i="12"/>
  <c r="G153" i="12"/>
  <c r="E153" i="12"/>
  <c r="D153" i="12"/>
  <c r="G152" i="12"/>
  <c r="E152" i="12"/>
  <c r="D152" i="12"/>
  <c r="G151" i="12"/>
  <c r="F151" i="12"/>
  <c r="E151" i="12"/>
  <c r="D151" i="12"/>
  <c r="G150" i="12"/>
  <c r="F150" i="12"/>
  <c r="E150" i="12"/>
  <c r="D150" i="12"/>
  <c r="G149" i="12"/>
  <c r="F149" i="12"/>
  <c r="E149" i="12"/>
  <c r="D149" i="12"/>
  <c r="G148" i="12"/>
  <c r="F148" i="12"/>
  <c r="E148" i="12"/>
  <c r="D148" i="12"/>
  <c r="G147" i="12"/>
  <c r="F147" i="12"/>
  <c r="E147" i="12"/>
  <c r="D147" i="12"/>
  <c r="G146" i="12"/>
  <c r="F146" i="12"/>
  <c r="E146" i="12"/>
  <c r="D146" i="12"/>
  <c r="G145" i="12"/>
  <c r="F145" i="12"/>
  <c r="E145" i="12"/>
  <c r="D145" i="12"/>
  <c r="G144" i="12"/>
  <c r="F144" i="12"/>
  <c r="E144" i="12"/>
  <c r="D144" i="12"/>
  <c r="G143" i="12"/>
  <c r="E143" i="12"/>
  <c r="D143" i="12"/>
  <c r="G142" i="12"/>
  <c r="F142" i="12"/>
  <c r="E142" i="12"/>
  <c r="D142" i="12"/>
  <c r="G141" i="12"/>
  <c r="F141" i="12"/>
  <c r="E141" i="12"/>
  <c r="D141" i="12"/>
  <c r="G140" i="12"/>
  <c r="F140" i="12"/>
  <c r="E140" i="12"/>
  <c r="D140" i="12"/>
  <c r="G139" i="12"/>
  <c r="E139" i="12"/>
  <c r="D139" i="12"/>
  <c r="G138" i="12"/>
  <c r="F138" i="12"/>
  <c r="E138" i="12"/>
  <c r="D138" i="12"/>
  <c r="G137" i="12"/>
  <c r="F137" i="12"/>
  <c r="E137" i="12"/>
  <c r="D137" i="12"/>
  <c r="G136" i="12"/>
  <c r="F136" i="12"/>
  <c r="E136" i="12"/>
  <c r="D136" i="12"/>
  <c r="G135" i="12"/>
  <c r="F135" i="12"/>
  <c r="E135" i="12"/>
  <c r="D135" i="12"/>
  <c r="G134" i="12"/>
  <c r="E134" i="12"/>
  <c r="D134" i="12"/>
  <c r="G133" i="12"/>
  <c r="F133" i="12"/>
  <c r="E133" i="12"/>
  <c r="D133" i="12"/>
  <c r="G132" i="12"/>
  <c r="F132" i="12"/>
  <c r="E132" i="12"/>
  <c r="D132" i="12"/>
  <c r="G131" i="12"/>
  <c r="F131" i="12"/>
  <c r="E131" i="12"/>
  <c r="D131" i="12"/>
  <c r="G130" i="12"/>
  <c r="F130" i="12"/>
  <c r="E130" i="12"/>
  <c r="D130" i="12"/>
  <c r="G129" i="12"/>
  <c r="F129" i="12"/>
  <c r="E129" i="12"/>
  <c r="D129" i="12"/>
  <c r="G128" i="12"/>
  <c r="F128" i="12"/>
  <c r="E128" i="12"/>
  <c r="D128" i="12"/>
  <c r="G127" i="12"/>
  <c r="F127" i="12"/>
  <c r="E127" i="12"/>
  <c r="D127" i="12"/>
  <c r="G126" i="12"/>
  <c r="F126" i="12"/>
  <c r="E126" i="12"/>
  <c r="D126" i="12"/>
  <c r="G125" i="12"/>
  <c r="F125" i="12"/>
  <c r="E125" i="12"/>
  <c r="D125" i="12"/>
  <c r="G124" i="12"/>
  <c r="F124" i="12"/>
  <c r="E124" i="12"/>
  <c r="D124" i="12"/>
  <c r="G123" i="12"/>
  <c r="F123" i="12"/>
  <c r="E123" i="12"/>
  <c r="D123" i="12"/>
  <c r="G122" i="12"/>
  <c r="F122" i="12"/>
  <c r="E122" i="12"/>
  <c r="D122" i="12"/>
  <c r="G121" i="12"/>
  <c r="F121" i="12"/>
  <c r="E121" i="12"/>
  <c r="D121" i="12"/>
  <c r="G120" i="12"/>
  <c r="F120" i="12"/>
  <c r="E120" i="12"/>
  <c r="D120" i="12"/>
  <c r="G119" i="12"/>
  <c r="F119" i="12"/>
  <c r="E119" i="12"/>
  <c r="D119" i="12"/>
  <c r="G118" i="12"/>
  <c r="F118" i="12"/>
  <c r="E118" i="12"/>
  <c r="D118" i="12"/>
  <c r="G117" i="12"/>
  <c r="F117" i="12"/>
  <c r="E117" i="12"/>
  <c r="D117" i="12"/>
  <c r="G116" i="12"/>
  <c r="F116" i="12"/>
  <c r="E116" i="12"/>
  <c r="D116" i="12"/>
  <c r="G115" i="12"/>
  <c r="F115" i="12"/>
  <c r="E115" i="12"/>
  <c r="D115" i="12"/>
  <c r="G114" i="12"/>
  <c r="F114" i="12"/>
  <c r="E114" i="12"/>
  <c r="D114" i="12"/>
  <c r="G113" i="12"/>
  <c r="F113" i="12"/>
  <c r="E113" i="12"/>
  <c r="D113" i="12"/>
  <c r="G112" i="12"/>
  <c r="F112" i="12"/>
  <c r="E112" i="12"/>
  <c r="D112" i="12"/>
  <c r="G111" i="12"/>
  <c r="F111" i="12"/>
  <c r="E111" i="12"/>
  <c r="D111" i="12"/>
  <c r="G110" i="12"/>
  <c r="F110" i="12"/>
  <c r="E110" i="12"/>
  <c r="D110" i="12"/>
  <c r="G109" i="12"/>
  <c r="F109" i="12"/>
  <c r="E109" i="12"/>
  <c r="D109" i="12"/>
  <c r="G108" i="12"/>
  <c r="F108" i="12"/>
  <c r="E108" i="12"/>
  <c r="D108" i="12"/>
  <c r="G107" i="12"/>
  <c r="F107" i="12"/>
  <c r="E107" i="12"/>
  <c r="D107" i="12"/>
  <c r="G106" i="12"/>
  <c r="F106" i="12"/>
  <c r="E106" i="12"/>
  <c r="D106" i="12"/>
  <c r="G105" i="12"/>
  <c r="F105" i="12"/>
  <c r="E105" i="12"/>
  <c r="D105" i="12"/>
  <c r="G104" i="12"/>
  <c r="F104" i="12"/>
  <c r="E104" i="12"/>
  <c r="D104" i="12"/>
  <c r="G103" i="12"/>
  <c r="F103" i="12"/>
  <c r="E103" i="12"/>
  <c r="D103" i="12"/>
  <c r="G102" i="12"/>
  <c r="F102" i="12"/>
  <c r="E102" i="12"/>
  <c r="D102" i="12"/>
  <c r="G101" i="12"/>
  <c r="F101" i="12"/>
  <c r="E101" i="12"/>
  <c r="D101" i="12"/>
  <c r="G100" i="12"/>
  <c r="F100" i="12"/>
  <c r="E100" i="12"/>
  <c r="D100" i="12"/>
  <c r="G99" i="12"/>
  <c r="F99" i="12"/>
  <c r="E99" i="12"/>
  <c r="D99" i="12"/>
  <c r="G98" i="12"/>
  <c r="F98" i="12"/>
  <c r="E98" i="12"/>
  <c r="D98" i="12"/>
  <c r="G97" i="12"/>
  <c r="F97" i="12"/>
  <c r="E97" i="12"/>
  <c r="D97" i="12"/>
  <c r="G96" i="12"/>
  <c r="F96" i="12"/>
  <c r="E96" i="12"/>
  <c r="D96" i="12"/>
  <c r="G95" i="12"/>
  <c r="F95" i="12"/>
  <c r="E95" i="12"/>
  <c r="D95" i="12"/>
  <c r="G94" i="12"/>
  <c r="F94" i="12"/>
  <c r="E94" i="12"/>
  <c r="D94" i="12"/>
  <c r="G93" i="12"/>
  <c r="F93" i="12"/>
  <c r="E93" i="12"/>
  <c r="D93" i="12"/>
  <c r="G92" i="12"/>
  <c r="F92" i="12"/>
  <c r="E92" i="12"/>
  <c r="D92" i="12"/>
  <c r="G91" i="12"/>
  <c r="F91" i="12"/>
  <c r="E91" i="12"/>
  <c r="D91" i="12"/>
  <c r="G90" i="12"/>
  <c r="F90" i="12"/>
  <c r="E90" i="12"/>
  <c r="D90" i="12"/>
  <c r="G89" i="12"/>
  <c r="F89" i="12"/>
  <c r="E89" i="12"/>
  <c r="D89" i="12"/>
  <c r="G88" i="12"/>
  <c r="F88" i="12"/>
  <c r="E88" i="12"/>
  <c r="D88" i="12"/>
  <c r="G87" i="12"/>
  <c r="F87" i="12"/>
  <c r="E87" i="12"/>
  <c r="D87" i="12"/>
  <c r="G86" i="12"/>
  <c r="F86" i="12"/>
  <c r="E86" i="12"/>
  <c r="D86" i="12"/>
  <c r="G85" i="12"/>
  <c r="F85" i="12"/>
  <c r="E85" i="12"/>
  <c r="D85" i="12"/>
  <c r="G84" i="12"/>
  <c r="F84" i="12"/>
  <c r="E84" i="12"/>
  <c r="D84" i="12"/>
  <c r="G83" i="12"/>
  <c r="F83" i="12"/>
  <c r="E83" i="12"/>
  <c r="D83" i="12"/>
  <c r="G82" i="12"/>
  <c r="F82" i="12"/>
  <c r="E82" i="12"/>
  <c r="D82" i="12"/>
  <c r="G81" i="12"/>
  <c r="F81" i="12"/>
  <c r="E81" i="12"/>
  <c r="D81" i="12"/>
  <c r="G80" i="12"/>
  <c r="F80" i="12"/>
  <c r="E80" i="12"/>
  <c r="D80" i="12"/>
  <c r="G79" i="12"/>
  <c r="F79" i="12"/>
  <c r="E79" i="12"/>
  <c r="D79" i="12"/>
  <c r="G78" i="12"/>
  <c r="F78" i="12"/>
  <c r="E78" i="12"/>
  <c r="D78" i="12"/>
  <c r="G77" i="12"/>
  <c r="F77" i="12"/>
  <c r="E77" i="12"/>
  <c r="D77" i="12"/>
  <c r="G76" i="12"/>
  <c r="F76" i="12"/>
  <c r="E76" i="12"/>
  <c r="D76" i="12"/>
  <c r="G75" i="12"/>
  <c r="F75" i="12"/>
  <c r="E75" i="12"/>
  <c r="D75" i="12"/>
  <c r="G74" i="12"/>
  <c r="F74" i="12"/>
  <c r="E74" i="12"/>
  <c r="D74" i="12"/>
  <c r="G73" i="12"/>
  <c r="F73" i="12"/>
  <c r="E73" i="12"/>
  <c r="D73" i="12"/>
  <c r="G72" i="12"/>
  <c r="F72" i="12"/>
  <c r="E72" i="12"/>
  <c r="D72" i="12"/>
  <c r="G71" i="12"/>
  <c r="F71" i="12"/>
  <c r="E71" i="12"/>
  <c r="D71" i="12"/>
  <c r="G70" i="12"/>
  <c r="F70" i="12"/>
  <c r="E70" i="12"/>
  <c r="D70" i="12"/>
  <c r="G69" i="12"/>
  <c r="F69" i="12"/>
  <c r="E69" i="12"/>
  <c r="D69" i="12"/>
  <c r="G68" i="12"/>
  <c r="F68" i="12"/>
  <c r="E68" i="12"/>
  <c r="D68" i="12"/>
  <c r="G67" i="12"/>
  <c r="F67" i="12"/>
  <c r="E67" i="12"/>
  <c r="D67" i="12"/>
  <c r="G66" i="12"/>
  <c r="F66" i="12"/>
  <c r="E66" i="12"/>
  <c r="D66" i="12"/>
  <c r="G65" i="12"/>
  <c r="F65" i="12"/>
  <c r="E65" i="12"/>
  <c r="D65" i="12"/>
  <c r="G64" i="12"/>
  <c r="F64" i="12"/>
  <c r="E64" i="12"/>
  <c r="D64" i="12"/>
  <c r="G63" i="12"/>
  <c r="F63" i="12"/>
  <c r="E63" i="12"/>
  <c r="D63" i="12"/>
  <c r="G62" i="12"/>
  <c r="F62" i="12"/>
  <c r="E62" i="12"/>
  <c r="D62" i="12"/>
  <c r="G61" i="12"/>
  <c r="F61" i="12"/>
  <c r="E61" i="12"/>
  <c r="D61" i="12"/>
  <c r="G60" i="12"/>
  <c r="F60" i="12"/>
  <c r="E60" i="12"/>
  <c r="D60" i="12"/>
  <c r="G59" i="12"/>
  <c r="F59" i="12"/>
  <c r="E59" i="12"/>
  <c r="D59" i="12"/>
  <c r="G58" i="12"/>
  <c r="F58" i="12"/>
  <c r="E58" i="12"/>
  <c r="D58" i="12"/>
  <c r="G57" i="12"/>
  <c r="F57" i="12"/>
  <c r="E57" i="12"/>
  <c r="D57" i="12"/>
  <c r="G56" i="12"/>
  <c r="F56" i="12"/>
  <c r="E56" i="12"/>
  <c r="D56" i="12"/>
  <c r="G55" i="12"/>
  <c r="F55" i="12"/>
  <c r="E55" i="12"/>
  <c r="D55" i="12"/>
  <c r="G54" i="12"/>
  <c r="F54" i="12"/>
  <c r="E54" i="12"/>
  <c r="D54" i="12"/>
  <c r="G53" i="12"/>
  <c r="F53" i="12"/>
  <c r="E53" i="12"/>
  <c r="D53" i="12"/>
  <c r="G52" i="12"/>
  <c r="F52" i="12"/>
  <c r="E52" i="12"/>
  <c r="D52" i="12"/>
  <c r="G51" i="12"/>
  <c r="F51" i="12"/>
  <c r="E51" i="12"/>
  <c r="D51" i="12"/>
  <c r="G50" i="12"/>
  <c r="F50" i="12"/>
  <c r="E50" i="12"/>
  <c r="D50" i="12"/>
  <c r="G49" i="12"/>
  <c r="F49" i="12"/>
  <c r="E49" i="12"/>
  <c r="D49" i="12"/>
  <c r="G48" i="12"/>
  <c r="F48" i="12"/>
  <c r="E48" i="12"/>
  <c r="D48" i="12"/>
  <c r="G47" i="12"/>
  <c r="F47" i="12"/>
  <c r="E47" i="12"/>
  <c r="D47" i="12"/>
  <c r="G46" i="12"/>
  <c r="F46" i="12"/>
  <c r="E46" i="12"/>
  <c r="D46" i="12"/>
  <c r="G45" i="12"/>
  <c r="F45" i="12"/>
  <c r="E45" i="12"/>
  <c r="D45" i="12"/>
  <c r="G44" i="12"/>
  <c r="F44" i="12"/>
  <c r="E44" i="12"/>
  <c r="D44" i="12"/>
  <c r="G43" i="12"/>
  <c r="F43" i="12"/>
  <c r="E43" i="12"/>
  <c r="D43" i="12"/>
  <c r="G42" i="12"/>
  <c r="F42" i="12"/>
  <c r="E42" i="12"/>
  <c r="D42" i="12"/>
  <c r="G41" i="12"/>
  <c r="F41" i="12"/>
  <c r="E41" i="12"/>
  <c r="D41" i="12"/>
  <c r="G40" i="12"/>
  <c r="F40" i="12"/>
  <c r="E40" i="12"/>
  <c r="D40" i="12"/>
  <c r="G39" i="12"/>
  <c r="F39" i="12"/>
  <c r="E39" i="12"/>
  <c r="D39" i="12"/>
  <c r="G38" i="12"/>
  <c r="F38" i="12"/>
  <c r="E38" i="12"/>
  <c r="D38" i="12"/>
  <c r="G37" i="12"/>
  <c r="F37" i="12"/>
  <c r="E37" i="12"/>
  <c r="D37" i="12"/>
  <c r="G36" i="12"/>
  <c r="F36" i="12"/>
  <c r="E36" i="12"/>
  <c r="D36" i="12"/>
  <c r="G35" i="12"/>
  <c r="F35" i="12"/>
  <c r="E35" i="12"/>
  <c r="D35" i="12"/>
  <c r="G34" i="12"/>
  <c r="F34" i="12"/>
  <c r="E34" i="12"/>
  <c r="D34" i="12"/>
  <c r="G33" i="12"/>
  <c r="F33" i="12"/>
  <c r="E33" i="12"/>
  <c r="D33" i="12"/>
  <c r="G32" i="12"/>
  <c r="F32" i="12"/>
  <c r="E32" i="12"/>
  <c r="D32" i="12"/>
  <c r="G31" i="12"/>
  <c r="F31" i="12"/>
  <c r="E31" i="12"/>
  <c r="D31" i="12"/>
  <c r="G30" i="12"/>
  <c r="F30" i="12"/>
  <c r="E30" i="12"/>
  <c r="D30" i="12"/>
  <c r="G29" i="12"/>
  <c r="F29" i="12"/>
  <c r="E29" i="12"/>
  <c r="D29" i="12"/>
  <c r="G28" i="12"/>
  <c r="F28" i="12"/>
  <c r="E28" i="12"/>
  <c r="D28" i="12"/>
  <c r="G27" i="12"/>
  <c r="F27" i="12"/>
  <c r="E27" i="12"/>
  <c r="D27" i="12"/>
  <c r="G26" i="12"/>
  <c r="F26" i="12"/>
  <c r="E26" i="12"/>
  <c r="D26" i="12"/>
  <c r="G25" i="12"/>
  <c r="F25" i="12"/>
  <c r="E25" i="12"/>
  <c r="D25" i="12"/>
  <c r="G24" i="12"/>
  <c r="F24" i="12"/>
  <c r="E24" i="12"/>
  <c r="D24" i="12"/>
  <c r="G23" i="12"/>
  <c r="F23" i="12"/>
  <c r="E23" i="12"/>
  <c r="D23" i="12"/>
  <c r="G22" i="12"/>
  <c r="F22" i="12"/>
  <c r="E22" i="12"/>
  <c r="D22" i="12"/>
  <c r="G21" i="12"/>
  <c r="F21" i="12"/>
  <c r="E21" i="12"/>
  <c r="D21" i="12"/>
  <c r="G20" i="12"/>
  <c r="F20" i="12"/>
  <c r="E20" i="12"/>
  <c r="D20" i="12"/>
  <c r="G19" i="12"/>
  <c r="F19" i="12"/>
  <c r="E19" i="12"/>
  <c r="D19" i="12"/>
  <c r="G18" i="12"/>
  <c r="F18" i="12"/>
  <c r="E18" i="12"/>
  <c r="D18" i="12"/>
  <c r="G17" i="12"/>
  <c r="F17" i="12"/>
  <c r="E17" i="12"/>
  <c r="D17" i="12"/>
  <c r="G16" i="12"/>
  <c r="F16" i="12"/>
  <c r="E16" i="12"/>
  <c r="D16" i="12"/>
  <c r="G15" i="12"/>
  <c r="F15" i="12"/>
  <c r="E15" i="12"/>
  <c r="D15" i="12"/>
  <c r="G14" i="12"/>
  <c r="F14" i="12"/>
  <c r="E14" i="12"/>
  <c r="D14" i="12"/>
  <c r="G13" i="12"/>
  <c r="F13" i="12"/>
  <c r="E13" i="12"/>
  <c r="D13" i="12"/>
  <c r="G12" i="12"/>
  <c r="F12" i="12"/>
  <c r="E12" i="12"/>
  <c r="D12" i="12"/>
  <c r="G11" i="12"/>
  <c r="F11" i="12"/>
  <c r="E11" i="12"/>
  <c r="D11" i="12"/>
  <c r="G10" i="12"/>
  <c r="F10" i="12"/>
  <c r="E10" i="12"/>
  <c r="D10" i="12"/>
  <c r="G9" i="12"/>
  <c r="F9" i="12"/>
  <c r="E9" i="12"/>
  <c r="D9" i="12"/>
  <c r="G8" i="12"/>
  <c r="F8" i="12"/>
  <c r="E8" i="12"/>
  <c r="D8" i="12"/>
  <c r="G7" i="12"/>
  <c r="F7" i="12"/>
  <c r="E7" i="12"/>
  <c r="D7" i="12"/>
  <c r="G6" i="12"/>
  <c r="F6" i="12"/>
  <c r="E6" i="12"/>
  <c r="D6" i="12"/>
  <c r="G5" i="12"/>
  <c r="F5" i="12"/>
  <c r="E5" i="12"/>
  <c r="D5" i="12"/>
  <c r="G4" i="12"/>
  <c r="F4" i="12"/>
  <c r="E4" i="12"/>
  <c r="D4" i="12"/>
  <c r="G3" i="12"/>
  <c r="F3" i="12"/>
  <c r="E3" i="12"/>
  <c r="D3" i="12"/>
  <c r="G2" i="12"/>
  <c r="F2" i="12"/>
  <c r="E2" i="12"/>
  <c r="D2" i="12"/>
</calcChain>
</file>

<file path=xl/comments1.xml><?xml version="1.0" encoding="utf-8"?>
<comments xmlns="http://schemas.openxmlformats.org/spreadsheetml/2006/main">
  <authors>
    <author>Treuren, Robbert van</author>
  </authors>
  <commentList>
    <comment ref="J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Number of days between sowing and first open flower
Sowing dates:
2015-10-01 </t>
        </r>
        <r>
          <rPr>
            <b/>
            <i/>
            <sz val="10"/>
            <color indexed="81"/>
            <rFont val="Calibri"/>
            <family val="2"/>
            <scheme val="minor"/>
          </rPr>
          <t xml:space="preserve">L. georgica
</t>
        </r>
        <r>
          <rPr>
            <b/>
            <sz val="10"/>
            <color indexed="81"/>
            <rFont val="Calibri"/>
            <family val="2"/>
            <scheme val="minor"/>
          </rPr>
          <t xml:space="preserve">2016-02-11 other wild </t>
        </r>
        <r>
          <rPr>
            <b/>
            <i/>
            <sz val="10"/>
            <color indexed="81"/>
            <rFont val="Calibri"/>
            <family val="2"/>
            <scheme val="minor"/>
          </rPr>
          <t xml:space="preserve">Lactuca
</t>
        </r>
        <r>
          <rPr>
            <b/>
            <sz val="10"/>
            <color indexed="81"/>
            <rFont val="Calibri"/>
            <family val="2"/>
            <scheme val="minor"/>
          </rPr>
          <t xml:space="preserve">2016-03-24 </t>
        </r>
        <r>
          <rPr>
            <b/>
            <i/>
            <sz val="10"/>
            <color indexed="81"/>
            <rFont val="Calibri"/>
            <family val="2"/>
            <scheme val="minor"/>
          </rPr>
          <t>L. sativa</t>
        </r>
      </text>
    </comment>
  </commentList>
</comments>
</file>

<file path=xl/comments2.xml><?xml version="1.0" encoding="utf-8"?>
<comments xmlns="http://schemas.openxmlformats.org/spreadsheetml/2006/main">
  <authors>
    <author>Treuren, Robbert van</author>
  </authors>
  <commentList>
    <comment ref="P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Scale:
3 = heterogeneous
5 = intermediate
7 = homogeneous
</t>
        </r>
      </text>
    </comment>
    <comment ref="Q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white
2 = black
</t>
        </r>
      </text>
    </comment>
    <comment ref="R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3 = small
5 = intermediate
7 = large
9 = very large</t>
        </r>
      </text>
    </comment>
    <comment ref="S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narrow elliptic
2 = broad elliptic to circular</t>
        </r>
      </text>
    </comment>
    <comment ref="T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yellow green
2 = light green
3 = medium green
4 = grey green
5 = dark green
6 = blue green
7 = brown red
</t>
        </r>
      </text>
    </comment>
    <comment ref="U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absent
9 = present
</t>
        </r>
      </text>
    </comment>
    <comment ref="V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narrow elliptic
2 = elliptic
3 = broad elliptic
4 = circular
5 = transverse broad elliptic
6 = transverse elliptic
7 = obovate
8 = broad obtrullate
9 = triangular</t>
        </r>
      </text>
    </comment>
    <comment ref="W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round
2 = ovate
3 = obovate
4 = oval
5 = triangular
6 = arrowy
7 = spatulate
8 = linear</t>
        </r>
      </text>
    </comment>
    <comment ref="X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very low
3 = low
5 = intermediate
7 = high
9 = very high</t>
        </r>
      </text>
    </comment>
    <comment ref="Y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very low
3 = low
5 = intermediate
7 = high
9 = very high</t>
        </r>
      </text>
    </comment>
    <comment ref="Z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very low
3 = low
5 = intermediate
7 = high
9 = very high</t>
        </r>
      </text>
    </comment>
    <comment ref="AA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not flabellate
2 = flabellate</t>
        </r>
      </text>
    </comment>
    <comment ref="AB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0
3 = 1/3
5 = 1/2
7 = 2/3
9 = 1</t>
        </r>
      </text>
    </comment>
    <comment ref="AC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3 = round
5 = medium round
7 = pointed
9 = very pointed</t>
        </r>
      </text>
    </comment>
    <comment ref="AD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yellow
2 = green
3 = gray
4 = blue
5 = red</t>
        </r>
      </text>
    </comment>
    <comment ref="AE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very light
3 = light
5 = intermediate
7 = dark
9 = very dark</t>
        </r>
      </text>
    </comment>
    <comment ref="AF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very low
3 = low
5 = intermediate
7 = high
9 = very high</t>
        </r>
      </text>
    </comment>
    <comment ref="AG1" authorId="0" shapeId="0">
      <text>
        <r>
          <rPr>
            <b/>
            <sz val="10"/>
            <color indexed="81"/>
            <rFont val="Calibri"/>
            <family val="2"/>
            <scheme val="minor"/>
          </rPr>
          <t>0 = no anthocyanin
1 = localised
2 = uniform</t>
        </r>
      </text>
    </comment>
    <comment ref="AH1" authorId="0" shapeId="0">
      <text>
        <r>
          <rPr>
            <b/>
            <sz val="10"/>
            <color indexed="81"/>
            <rFont val="Calibri"/>
            <family val="2"/>
            <scheme val="minor"/>
          </rPr>
          <t>0 = no anthocyanin
1 = diffused
2 = spotted
3 = diffused and spotted</t>
        </r>
      </text>
    </comment>
    <comment ref="AI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absent
9 = present</t>
        </r>
      </text>
    </comment>
    <comment ref="AJ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absent or very low
3 = low
5 = intermediate
7 = high
9 = very high</t>
        </r>
      </text>
    </comment>
    <comment ref="AK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not incised
2 = pinnatilobed (≤1/3)
3 = pinnatifid (1/2)
4 = pinnatipart (2/3)
5 = pinnatisect (&gt;2/3)</t>
        </r>
      </text>
    </comment>
    <comment ref="AL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not incised
2 = pinnatilobed (≤1/3)
3 = pinnatifid (1/2)
4 = pinnatipart (2/3)
5 = pinnatisect (&gt;2/3)</t>
        </r>
      </text>
    </comment>
    <comment ref="AM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very low
3 = low
5 = intermediate
7 = high
9 = very high</t>
        </r>
      </text>
    </comment>
    <comment ref="AN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very low
3 = low
5 = intermediate
7 = high
9 = very high</t>
        </r>
      </text>
    </comment>
    <comment ref="AO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very low
3 = low
5 = intermediate
7 = high
9 = very high</t>
        </r>
      </text>
    </comment>
    <comment ref="AP1" authorId="0" shapeId="0">
      <text>
        <r>
          <rPr>
            <b/>
            <sz val="10"/>
            <color indexed="81"/>
            <rFont val="Calibri"/>
            <family val="2"/>
            <scheme val="minor"/>
          </rPr>
          <t>0 = no head
1 = elliptic
2 = broad elliptic
3 = circular
4 = transverse elliptic</t>
        </r>
      </text>
    </comment>
    <comment ref="AQ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no overlap
5 = half overlap (leafs touching on top)
9 = complete overlap</t>
        </r>
      </text>
    </comment>
    <comment ref="AR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very low
3 = low
5 = intermediate
7 = high
9 = very high</t>
        </r>
      </text>
    </comment>
    <comment ref="AS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absent or very low
3 = low
5 = intermediate
7 = high
9 = very high</t>
        </r>
      </text>
    </comment>
    <comment ref="AT1" authorId="0" shapeId="0">
      <text>
        <r>
          <rPr>
            <b/>
            <sz val="10"/>
            <color indexed="81"/>
            <rFont val="Calibri"/>
            <family val="2"/>
            <scheme val="minor"/>
          </rPr>
          <t>Time in number of days</t>
        </r>
      </text>
    </comment>
    <comment ref="AU1" authorId="0" shapeId="0">
      <text>
        <r>
          <rPr>
            <b/>
            <sz val="10"/>
            <color indexed="81"/>
            <rFont val="Calibri"/>
            <family val="2"/>
            <scheme val="minor"/>
          </rPr>
          <t>Time in number of days between sowing and harvesting</t>
        </r>
      </text>
    </comment>
    <comment ref="AV1" authorId="0" shapeId="0">
      <text>
        <r>
          <rPr>
            <b/>
            <sz val="10"/>
            <color indexed="81"/>
            <rFont val="Calibri"/>
            <family val="2"/>
            <scheme val="minor"/>
          </rPr>
          <t>Diameter in mm</t>
        </r>
      </text>
    </comment>
    <comment ref="AW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absent
9 = present</t>
        </r>
      </text>
    </comment>
    <comment ref="AX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very low
3 = low
5 = intermediate
7 = high
9 = very high</t>
        </r>
      </text>
    </comment>
    <comment ref="AY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absent
9 = present</t>
        </r>
      </text>
    </comment>
    <comment ref="AZ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absent or very low
3 = low
5 = intermediate
7 = high
9 = very high</t>
        </r>
      </text>
    </comment>
    <comment ref="BA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yellow
2 = blue</t>
        </r>
      </text>
    </comment>
    <comment ref="BB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absent
9 = present</t>
        </r>
      </text>
    </comment>
    <comment ref="BC1" authorId="0" shapeId="0">
      <text>
        <r>
          <rPr>
            <b/>
            <sz val="10"/>
            <color indexed="81"/>
            <rFont val="Calibri"/>
            <family val="2"/>
            <scheme val="minor"/>
          </rPr>
          <t>Time in number of days between sowing and appearance of the first flower head (field trial)</t>
        </r>
      </text>
    </comment>
    <comment ref="BD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Content in µg/kg </t>
        </r>
      </text>
    </comment>
    <comment ref="BE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Content in mg/kg </t>
        </r>
      </text>
    </comment>
    <comment ref="BF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Content in mg/g dry matter </t>
        </r>
      </text>
    </comment>
    <comment ref="BG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BH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partially resistant
2 = intermediate susceptible
3 = susceptible</t>
        </r>
      </text>
    </comment>
    <comment ref="BI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Mean weight in µg of 8-day-old aphids per plant </t>
        </r>
      </text>
    </comment>
    <comment ref="BJ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Mean weight in µg of 8-day-old aphids per plant  </t>
        </r>
      </text>
    </comment>
    <comment ref="BK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very resistant
5 = very susceptible</t>
        </r>
      </text>
    </comment>
    <comment ref="BL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partially resistant
2 = intermediate susceptible
3 = susceptible</t>
        </r>
      </text>
    </comment>
    <comment ref="BM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BN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4 = susceptible</t>
        </r>
      </text>
    </comment>
    <comment ref="BO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4 = susceptible</t>
        </r>
      </text>
    </comment>
    <comment ref="BP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0 = completely resistant
9 = very susceptible</t>
        </r>
      </text>
    </comment>
    <comment ref="BQ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BR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BS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BT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BU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BV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BW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BX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BY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BZ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CA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CB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CC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CD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CE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CF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CG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CH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CI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CJ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CK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CL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CM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
Emb = embargo until 9-7-2019</t>
        </r>
      </text>
    </comment>
    <comment ref="CN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
Emb = embargo until 9-7-2019</t>
        </r>
      </text>
    </comment>
    <comment ref="CO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
Emb = embargo until 9-7-2019</t>
        </r>
      </text>
    </comment>
    <comment ref="CP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
Emb = embargo until 9-7-2019</t>
        </r>
      </text>
    </comment>
    <comment ref="CQ1" authorId="0" shapeId="0">
      <text>
        <r>
          <rPr>
            <b/>
            <sz val="10"/>
            <color indexed="81"/>
            <rFont val="Calibri"/>
            <family val="2"/>
            <scheme val="minor"/>
          </rPr>
          <t>Emb = embargo until 2-6-2020</t>
        </r>
      </text>
    </comment>
    <comment ref="CR1" authorId="0" shapeId="0">
      <text>
        <r>
          <rPr>
            <b/>
            <sz val="10"/>
            <color indexed="81"/>
            <rFont val="Calibri"/>
            <family val="2"/>
            <scheme val="minor"/>
          </rPr>
          <t>Emb = embargo until 2-6-2020</t>
        </r>
      </text>
    </comment>
    <comment ref="CS1" authorId="0" shapeId="0">
      <text>
        <r>
          <rPr>
            <b/>
            <sz val="10"/>
            <color indexed="81"/>
            <rFont val="Calibri"/>
            <family val="2"/>
            <scheme val="minor"/>
          </rPr>
          <t>Emb = embargo until 2-6-2020</t>
        </r>
      </text>
    </comment>
    <comment ref="CT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CU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CV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CW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CX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CY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CZ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DA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DB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DC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DD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DE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DF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resistant
5 = heterogeneous
9 = susceptible</t>
        </r>
      </text>
    </comment>
    <comment ref="DG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resistant
5 = heterogeneous
9 = susceptible</t>
        </r>
      </text>
    </comment>
    <comment ref="DH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resistant
5 = heterogeneous
9 = susceptible</t>
        </r>
      </text>
    </comment>
    <comment ref="DI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resistant
5 = heterogeneous
9 = susceptible</t>
        </r>
      </text>
    </comment>
    <comment ref="DJ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resistant
5 = heterogeneous
9 = susceptible</t>
        </r>
      </text>
    </comment>
    <comment ref="DK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resistant
5 = heterogeneous
9 = susceptible</t>
        </r>
      </text>
    </comment>
    <comment ref="DL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DM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DN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DO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DP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  <comment ref="DQ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resistant
9 = susceptible</t>
        </r>
      </text>
    </comment>
    <comment ref="DR1" authorId="0" shapeId="0">
      <text>
        <r>
          <rPr>
            <b/>
            <sz val="10"/>
            <color indexed="81"/>
            <rFont val="Calibri"/>
            <family val="2"/>
            <scheme val="minor"/>
          </rPr>
          <t>Scale:
1 = resistant
9 = susceptible</t>
        </r>
      </text>
    </comment>
  </commentList>
</comments>
</file>

<file path=xl/comments3.xml><?xml version="1.0" encoding="utf-8"?>
<comments xmlns="http://schemas.openxmlformats.org/spreadsheetml/2006/main">
  <authors>
    <author>Treuren, Robbert van</author>
  </authors>
  <commentList>
    <comment ref="C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indoor
2 = outdoor
3 = indoor and outdoor
</t>
        </r>
      </text>
    </comment>
    <comment ref="D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white
2 = yellow
3 = black
</t>
        </r>
      </text>
    </comment>
    <comment ref="E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absent
9 = present</t>
        </r>
      </text>
    </comment>
    <comment ref="F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erect
3 = semi-erect
5 = prostrate</t>
        </r>
      </text>
    </comment>
    <comment ref="G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entire
2 = lobed
3 = divided</t>
        </r>
      </text>
    </comment>
    <comment ref="H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very small
3 = small
5 = medium
7 = large
9 = very large
</t>
        </r>
      </text>
    </comment>
    <comment ref="I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absent
2 = open head
3 = closed head (overlapping)
</t>
        </r>
      </text>
    </comment>
    <comment ref="J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very weak
3 = weak
5 = medium
7 = strong
9 = very strong
</t>
        </r>
      </text>
    </comment>
    <comment ref="K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very loose
3 = loose
5 = medium
7 = dense
9 = very dense
</t>
        </r>
      </text>
    </comment>
    <comment ref="L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very small
3 = small
5 = medium
7 = large
9 = very large
</t>
        </r>
      </text>
    </comment>
    <comment ref="M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narrow elliptic
2 = broad elliptic
3 = circular
4 = transverse elliptic
</t>
        </r>
      </text>
    </comment>
    <comment ref="N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very thin
3 = thin
5 = medium
7 = thick
9 = very thick
</t>
        </r>
      </text>
    </comment>
    <comment ref="O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erect
3 = semi-erect
5 = horizontal
</t>
        </r>
      </text>
    </comment>
    <comment ref="P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narrow elliptic
2 = medium elliptic
3 = broad elliptic
4 = circular
5 = transverse broad elliptic
6 = transverse narrow elliptic
7 = obovate
8 = broad obtrullate
9 = triangular
</t>
        </r>
      </text>
    </comment>
    <comment ref="Q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absent
9 = present
</t>
        </r>
      </text>
    </comment>
    <comment ref="R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very weak
3 = weak
5 = medium
7 = strong
9 = very strong
</t>
        </r>
      </text>
    </comment>
    <comment ref="S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localised
2 = entire
</t>
        </r>
      </text>
    </comment>
    <comment ref="T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diffused only
2 = spotted only
3 = diffused and spotted</t>
        </r>
      </text>
    </comment>
    <comment ref="U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absent or very weak
3 = weak
5 = medium
7 = strong</t>
        </r>
      </text>
    </comment>
    <comment ref="V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absent or very weak
3 = weak
5 = medium
7 = strong
9 = very strong
</t>
        </r>
      </text>
    </comment>
    <comment ref="W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very small
3 = small
5 = medium
7 = large
</t>
        </r>
      </text>
    </comment>
    <comment ref="X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1= absent or very weak
3 = weak
5 = medium
7 = strong
9 = very strong
</t>
        </r>
      </text>
    </comment>
    <comment ref="Y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absent
9 = present
</t>
        </r>
      </text>
    </comment>
    <comment ref="Z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very shallow
3 = shallow
5 = medium
7 = deep
9 = very deep</t>
        </r>
      </text>
    </comment>
    <comment ref="AA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very sparse
3 = sparse
5 = medium
7 = dense
9 = very dense</t>
        </r>
      </text>
    </comment>
    <comment ref="AB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not flabellate
2 = flabellate
</t>
        </r>
      </text>
    </comment>
    <comment ref="AC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absent or very weak
3 = weak
5 = medium
7 = strong
9 = very strong
</t>
        </r>
      </text>
    </comment>
    <comment ref="AD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absent
9 = present
</t>
        </r>
      </text>
    </comment>
    <comment ref="AE1" authorId="0" shapeId="0">
      <text>
        <r>
          <rPr>
            <b/>
            <sz val="10"/>
            <color indexed="81"/>
            <rFont val="Calibri"/>
            <family val="2"/>
            <scheme val="minor"/>
          </rPr>
          <t>1 = very weak
3 = weak
5 = medium
7 = strong
9 = very strong</t>
        </r>
      </text>
    </comment>
    <comment ref="AF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very early
3 = early
5 = medium
7 = late
9 = very late
</t>
        </r>
      </text>
    </comment>
    <comment ref="AG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very early
3 = early
5 = medium
7 = late
9 = very late
</t>
        </r>
      </text>
    </comment>
    <comment ref="AH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susceptible
9 = resistant
</t>
        </r>
      </text>
    </comment>
    <comment ref="AI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susceptible
9 = resistant
</t>
        </r>
      </text>
    </comment>
    <comment ref="AJ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susceptible
9 = resistant
</t>
        </r>
      </text>
    </comment>
    <comment ref="AK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susceptible
9 = resistant
</t>
        </r>
      </text>
    </comment>
    <comment ref="AL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susceptible
9 = resistant
</t>
        </r>
      </text>
    </comment>
    <comment ref="AM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susceptible
9 = resistant
</t>
        </r>
      </text>
    </comment>
    <comment ref="AN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susceptible
9 = resistant
</t>
        </r>
      </text>
    </comment>
    <comment ref="AO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susceptible
9 = resistant
</t>
        </r>
      </text>
    </comment>
    <comment ref="AP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susceptible
9 = resistant
</t>
        </r>
      </text>
    </comment>
    <comment ref="AQ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susceptible
9 = resistant
</t>
        </r>
      </text>
    </comment>
    <comment ref="AR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susceptible
9 = resistant
</t>
        </r>
      </text>
    </comment>
    <comment ref="AS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susceptible
9 = resistant
</t>
        </r>
      </text>
    </comment>
    <comment ref="AT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susceptible
9 = resistant
</t>
        </r>
      </text>
    </comment>
    <comment ref="AU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susceptible
9 = resistant
</t>
        </r>
      </text>
    </comment>
    <comment ref="AV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susceptible
9 = resistant
</t>
        </r>
      </text>
    </comment>
    <comment ref="AW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susceptible
9 = resistant
</t>
        </r>
      </text>
    </comment>
    <comment ref="AX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susceptible
9 = resistant
</t>
        </r>
      </text>
    </comment>
    <comment ref="AY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susceptible
9 = resistant
</t>
        </r>
      </text>
    </comment>
    <comment ref="AZ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susceptible
9 = resistant
</t>
        </r>
      </text>
    </comment>
    <comment ref="BA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susceptible
9 = resistant
</t>
        </r>
      </text>
    </comment>
    <comment ref="BB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susceptible
9 = resistant
</t>
        </r>
      </text>
    </comment>
    <comment ref="BC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susceptible
9 = resistant
</t>
        </r>
      </text>
    </comment>
    <comment ref="BD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susceptible
9 = resistant
</t>
        </r>
      </text>
    </comment>
    <comment ref="BE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susceptible
9 = resistant
</t>
        </r>
      </text>
    </comment>
    <comment ref="BF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susceptible
9 = tolerant
</t>
        </r>
      </text>
    </comment>
    <comment ref="BG1" authorId="0" shapeId="0">
      <text>
        <r>
          <rPr>
            <b/>
            <sz val="10"/>
            <color indexed="81"/>
            <rFont val="Calibri"/>
            <family val="2"/>
            <scheme val="minor"/>
          </rPr>
          <t xml:space="preserve">1 = susceptible
9 = tolerant
</t>
        </r>
      </text>
    </comment>
  </commentList>
</comments>
</file>

<file path=xl/sharedStrings.xml><?xml version="1.0" encoding="utf-8"?>
<sst xmlns="http://schemas.openxmlformats.org/spreadsheetml/2006/main" count="7900" uniqueCount="2790">
  <si>
    <t>Salad Bowl</t>
  </si>
  <si>
    <t>Amerikanischer Brauner</t>
  </si>
  <si>
    <t>Anuenue</t>
  </si>
  <si>
    <t>Ardente</t>
  </si>
  <si>
    <t>Avoncrisp</t>
  </si>
  <si>
    <t>Blonde du Prieure</t>
  </si>
  <si>
    <t>Brune d'Hiver</t>
  </si>
  <si>
    <t>Calicel</t>
  </si>
  <si>
    <t>Cos Kakichisago</t>
  </si>
  <si>
    <t>Du Bon Jardinier</t>
  </si>
  <si>
    <t>Frisee de Beauregard</t>
  </si>
  <si>
    <t>Hilde</t>
  </si>
  <si>
    <t>Hilds 1251</t>
  </si>
  <si>
    <t>Hohlblattriger Butter</t>
  </si>
  <si>
    <t>Krauser Gelber</t>
  </si>
  <si>
    <t>Laibacher Eis</t>
  </si>
  <si>
    <t>Oswego</t>
  </si>
  <si>
    <t>Patience</t>
  </si>
  <si>
    <t>PI 169496</t>
  </si>
  <si>
    <t>PI 177426</t>
  </si>
  <si>
    <t>PI 223379</t>
  </si>
  <si>
    <t>PI 251246</t>
  </si>
  <si>
    <t>PI 278091</t>
  </si>
  <si>
    <t>Reine de Mai</t>
  </si>
  <si>
    <t>Rougette du Midi a Graine Noire</t>
  </si>
  <si>
    <t>Romaine Ballon</t>
  </si>
  <si>
    <t>Romaine Verte d'Hiver</t>
  </si>
  <si>
    <t>Valtemp</t>
  </si>
  <si>
    <t>Wayahead</t>
  </si>
  <si>
    <t>Zomerkoning</t>
  </si>
  <si>
    <t>Great Lakes 659</t>
  </si>
  <si>
    <t>Wiener Maidivi</t>
  </si>
  <si>
    <t>Zalta Gjumjurdzinska</t>
  </si>
  <si>
    <t>Shundungua</t>
  </si>
  <si>
    <t>Kucheryavetc Odesskii</t>
  </si>
  <si>
    <t>Brenado</t>
  </si>
  <si>
    <t>Capitan</t>
  </si>
  <si>
    <t>Amplus '63</t>
  </si>
  <si>
    <t>Batavia Hanson Elite</t>
  </si>
  <si>
    <t>Batavia la Brillante</t>
  </si>
  <si>
    <t>Blonde du Cazard race Reine de Juillet</t>
  </si>
  <si>
    <t>Great Lakes</t>
  </si>
  <si>
    <t>Larganda</t>
  </si>
  <si>
    <t>Romaine Verte de Provence</t>
  </si>
  <si>
    <t>Stenhoved</t>
  </si>
  <si>
    <t>Valmaine</t>
  </si>
  <si>
    <t>Vanguard</t>
  </si>
  <si>
    <t>Wonder van Voorburg</t>
  </si>
  <si>
    <t>Troppo</t>
  </si>
  <si>
    <t>Celtuce</t>
  </si>
  <si>
    <t>Dandie</t>
  </si>
  <si>
    <t>Romana Larga Verde</t>
  </si>
  <si>
    <t>Mignonette</t>
  </si>
  <si>
    <t>SVALOF 64257-1</t>
  </si>
  <si>
    <t>SVALOF 67955-5</t>
  </si>
  <si>
    <t>San-Ye-Sheng-Cai</t>
  </si>
  <si>
    <t>Rudolfs Liebling</t>
  </si>
  <si>
    <t>IEE 333</t>
  </si>
  <si>
    <t>Grosse Blonde Paresseuse</t>
  </si>
  <si>
    <t>Bibb</t>
  </si>
  <si>
    <t>Blonde d'Ete</t>
  </si>
  <si>
    <t>Moskovskij Parnikovyj</t>
  </si>
  <si>
    <t>Semi-Morada</t>
  </si>
  <si>
    <t>Tom Thumb</t>
  </si>
  <si>
    <t>Forellenschluss</t>
  </si>
  <si>
    <t>Romaine Chicon des Charentes</t>
  </si>
  <si>
    <t>Romaine Pomme en Terre</t>
  </si>
  <si>
    <t>Sabine</t>
  </si>
  <si>
    <t>Batavia Gloire du Dauphine</t>
  </si>
  <si>
    <t>Trgoviska</t>
  </si>
  <si>
    <t>LAC 154/78</t>
  </si>
  <si>
    <t>Amandine</t>
  </si>
  <si>
    <t>Radichetta</t>
  </si>
  <si>
    <t>Toupie</t>
  </si>
  <si>
    <t>Winalda</t>
  </si>
  <si>
    <t>Mariska</t>
  </si>
  <si>
    <t>UCDM2</t>
  </si>
  <si>
    <t>UCDM10</t>
  </si>
  <si>
    <t>UCDM14</t>
  </si>
  <si>
    <t>Breno</t>
  </si>
  <si>
    <t>Kinemontepas</t>
  </si>
  <si>
    <t>Virex</t>
  </si>
  <si>
    <t>Huaye</t>
  </si>
  <si>
    <t>Line 4/57/D</t>
  </si>
  <si>
    <t>Teplicky</t>
  </si>
  <si>
    <t>Bourguignonne 9A</t>
  </si>
  <si>
    <t>Pennlake</t>
  </si>
  <si>
    <t>Cocarde</t>
  </si>
  <si>
    <t>Waldemann's Dark Green</t>
  </si>
  <si>
    <t>PI 181947 Cutting</t>
  </si>
  <si>
    <t>Fruhlingsgruss</t>
  </si>
  <si>
    <t>Quan Zhou Yuan Ye Hong Wo Ju</t>
  </si>
  <si>
    <t>Nei Meng San Ye Sheng Cai</t>
  </si>
  <si>
    <t>PI 181947 Latin</t>
  </si>
  <si>
    <t>Romance</t>
  </si>
  <si>
    <t>Ibis</t>
  </si>
  <si>
    <t>Augusta</t>
  </si>
  <si>
    <t>Dabora</t>
  </si>
  <si>
    <t>Diana</t>
  </si>
  <si>
    <t>Danilla</t>
  </si>
  <si>
    <t>Odessa</t>
  </si>
  <si>
    <t>Perlane</t>
  </si>
  <si>
    <t>Paulette</t>
  </si>
  <si>
    <t>Tasman</t>
  </si>
  <si>
    <t>Floricos 83</t>
  </si>
  <si>
    <t>Florida 70202</t>
  </si>
  <si>
    <t>Zimska Pisana</t>
  </si>
  <si>
    <t>Domaca Salata</t>
  </si>
  <si>
    <t>IHR 10,009535</t>
  </si>
  <si>
    <t>Chicon Batavia</t>
  </si>
  <si>
    <t>Feria</t>
  </si>
  <si>
    <t>Wintra</t>
  </si>
  <si>
    <t>Lovina</t>
  </si>
  <si>
    <t>Titan</t>
  </si>
  <si>
    <t>Ninja</t>
  </si>
  <si>
    <t>Bolivar</t>
  </si>
  <si>
    <t>Comedy</t>
  </si>
  <si>
    <t>Argeles</t>
  </si>
  <si>
    <t>Discovery</t>
  </si>
  <si>
    <t>Libusa</t>
  </si>
  <si>
    <t>Rosetta</t>
  </si>
  <si>
    <t>Green Towers</t>
  </si>
  <si>
    <t>Musicale</t>
  </si>
  <si>
    <t>Sanelin Lampenas</t>
  </si>
  <si>
    <t>LSA/92/2</t>
  </si>
  <si>
    <t>UC83US-01</t>
  </si>
  <si>
    <t>Maruli</t>
  </si>
  <si>
    <t>LSA/92/1</t>
  </si>
  <si>
    <t>Wild Maruli</t>
  </si>
  <si>
    <t>PIVT 1309</t>
  </si>
  <si>
    <t>LSE/18</t>
  </si>
  <si>
    <t>Colorado</t>
  </si>
  <si>
    <t>LS-102</t>
  </si>
  <si>
    <t>LSE 57/15</t>
  </si>
  <si>
    <t>Salinas</t>
  </si>
  <si>
    <t>Aquarel</t>
  </si>
  <si>
    <t>Expression</t>
  </si>
  <si>
    <t>Saligna 275-5</t>
  </si>
  <si>
    <t>US96UC23</t>
  </si>
  <si>
    <t>Olof</t>
  </si>
  <si>
    <t>Line</t>
  </si>
  <si>
    <t>TKI-001</t>
  </si>
  <si>
    <t>TKI-002</t>
  </si>
  <si>
    <t>TKI-003</t>
  </si>
  <si>
    <t>TKI-004</t>
  </si>
  <si>
    <t>TKI-006</t>
  </si>
  <si>
    <t>TKI-007</t>
  </si>
  <si>
    <t>TKI-008</t>
  </si>
  <si>
    <t>TKI-009</t>
  </si>
  <si>
    <t>TKI-011</t>
  </si>
  <si>
    <t>TKI-013</t>
  </si>
  <si>
    <t>TKI-014</t>
  </si>
  <si>
    <t>TKI-016</t>
  </si>
  <si>
    <t>TKI-017</t>
  </si>
  <si>
    <t>TKI-019</t>
  </si>
  <si>
    <t>TKI-020</t>
  </si>
  <si>
    <t>TKI-021</t>
  </si>
  <si>
    <t>TKI-022</t>
  </si>
  <si>
    <t>TKI-023</t>
  </si>
  <si>
    <t>TKI-024</t>
  </si>
  <si>
    <t>TKI-025</t>
  </si>
  <si>
    <t>TKI-026</t>
  </si>
  <si>
    <t>TKI-027</t>
  </si>
  <si>
    <t>TKI-028</t>
  </si>
  <si>
    <t>TKI-029</t>
  </si>
  <si>
    <t>TKI-030</t>
  </si>
  <si>
    <t>TKI-032</t>
  </si>
  <si>
    <t>TKI-033</t>
  </si>
  <si>
    <t>TKI-034</t>
  </si>
  <si>
    <t>TKI-035</t>
  </si>
  <si>
    <t>TKI-036</t>
  </si>
  <si>
    <t>TKI-037</t>
  </si>
  <si>
    <t>TKI-038</t>
  </si>
  <si>
    <t>TKI-039</t>
  </si>
  <si>
    <t>TKI-040</t>
  </si>
  <si>
    <t>TKI-041</t>
  </si>
  <si>
    <t>TKI-042</t>
  </si>
  <si>
    <t>TKI-043</t>
  </si>
  <si>
    <t>TKI-044</t>
  </si>
  <si>
    <t>TKI-045</t>
  </si>
  <si>
    <t>TKI-047</t>
  </si>
  <si>
    <t>TKI-048</t>
  </si>
  <si>
    <t>TKI-049</t>
  </si>
  <si>
    <t>TKI-050</t>
  </si>
  <si>
    <t>TKI-051</t>
  </si>
  <si>
    <t>TKI-053</t>
  </si>
  <si>
    <t>TKI-054</t>
  </si>
  <si>
    <t>TKI-055</t>
  </si>
  <si>
    <t>TKI-056</t>
  </si>
  <si>
    <t>TKI-057</t>
  </si>
  <si>
    <t>TKI-058</t>
  </si>
  <si>
    <t>TKI-059</t>
  </si>
  <si>
    <t>TKI-062</t>
  </si>
  <si>
    <t>TKI-063</t>
  </si>
  <si>
    <t>TKI-064</t>
  </si>
  <si>
    <t>TKI-065</t>
  </si>
  <si>
    <t>TKI-066</t>
  </si>
  <si>
    <t>TKI-067</t>
  </si>
  <si>
    <t>TKI-068</t>
  </si>
  <si>
    <t>TKI-069</t>
  </si>
  <si>
    <t>TKI-070</t>
  </si>
  <si>
    <t>TKI-071</t>
  </si>
  <si>
    <t>TKI-072</t>
  </si>
  <si>
    <t>TKI-073</t>
  </si>
  <si>
    <t>TKI-074</t>
  </si>
  <si>
    <t>TKI-075</t>
  </si>
  <si>
    <t>TKI-076</t>
  </si>
  <si>
    <t>TKI-077</t>
  </si>
  <si>
    <t>TKI-078</t>
  </si>
  <si>
    <t>TKI-079</t>
  </si>
  <si>
    <t>TKI-080</t>
  </si>
  <si>
    <t>TKI-081</t>
  </si>
  <si>
    <t>TKI-082</t>
  </si>
  <si>
    <t>TKI-083</t>
  </si>
  <si>
    <t>TKI-084</t>
  </si>
  <si>
    <t>TKI-085</t>
  </si>
  <si>
    <t>TKI-086</t>
  </si>
  <si>
    <t>TKI-087</t>
  </si>
  <si>
    <t>TKI-088</t>
  </si>
  <si>
    <t>TKI-089</t>
  </si>
  <si>
    <t>TKI-090</t>
  </si>
  <si>
    <t>TKI-091</t>
  </si>
  <si>
    <t>TKI-092</t>
  </si>
  <si>
    <t>TKI-093</t>
  </si>
  <si>
    <t>TKI-094</t>
  </si>
  <si>
    <t>TKI-095</t>
  </si>
  <si>
    <t>TKI-096</t>
  </si>
  <si>
    <t>TKI-097</t>
  </si>
  <si>
    <t>TKI-098</t>
  </si>
  <si>
    <t>TKI-099</t>
  </si>
  <si>
    <t>TKI-100</t>
  </si>
  <si>
    <t>TKI-101</t>
  </si>
  <si>
    <t>TKI-102</t>
  </si>
  <si>
    <t>TKI-103</t>
  </si>
  <si>
    <t>TKI-104</t>
  </si>
  <si>
    <t>TKI-105</t>
  </si>
  <si>
    <t>TKI-106</t>
  </si>
  <si>
    <t>TKI-107</t>
  </si>
  <si>
    <t>TKI-108</t>
  </si>
  <si>
    <t>TKI-109</t>
  </si>
  <si>
    <t>TKI-110</t>
  </si>
  <si>
    <t>TKI-111</t>
  </si>
  <si>
    <t>TKI-112</t>
  </si>
  <si>
    <t>TKI-113</t>
  </si>
  <si>
    <t>TKI-114</t>
  </si>
  <si>
    <t>TKI-115</t>
  </si>
  <si>
    <t>TKI-116</t>
  </si>
  <si>
    <t>TKI-117</t>
  </si>
  <si>
    <t>TKI-118</t>
  </si>
  <si>
    <t>TKI-119</t>
  </si>
  <si>
    <t>TKI-120</t>
  </si>
  <si>
    <t>TKI-121</t>
  </si>
  <si>
    <t>TKI-122</t>
  </si>
  <si>
    <t>TKI-123</t>
  </si>
  <si>
    <t>TKI-124</t>
  </si>
  <si>
    <t>TKI-125</t>
  </si>
  <si>
    <t>TKI-126</t>
  </si>
  <si>
    <t>TKI-127</t>
  </si>
  <si>
    <t>TKI-128</t>
  </si>
  <si>
    <t>TKI-129</t>
  </si>
  <si>
    <t>TKI-130</t>
  </si>
  <si>
    <t>TKI-131</t>
  </si>
  <si>
    <t>TKI-132</t>
  </si>
  <si>
    <t>TKI-134</t>
  </si>
  <si>
    <t>TKI-136</t>
  </si>
  <si>
    <t>TKI-137</t>
  </si>
  <si>
    <t>TKI-138</t>
  </si>
  <si>
    <t>TKI-139</t>
  </si>
  <si>
    <t>TKI-140</t>
  </si>
  <si>
    <t>TKI-141</t>
  </si>
  <si>
    <t>TKI-142</t>
  </si>
  <si>
    <t>TKI-143</t>
  </si>
  <si>
    <t>TKI-144</t>
  </si>
  <si>
    <t>TKI-145</t>
  </si>
  <si>
    <t>TKI-146</t>
  </si>
  <si>
    <t>TKI-147</t>
  </si>
  <si>
    <t>TKI-148</t>
  </si>
  <si>
    <t>TKI-149</t>
  </si>
  <si>
    <t>TKI-150</t>
  </si>
  <si>
    <t>TKI-151</t>
  </si>
  <si>
    <t>TKI-152</t>
  </si>
  <si>
    <t>TKI-153</t>
  </si>
  <si>
    <t>TKI-154</t>
  </si>
  <si>
    <t>TKI-155</t>
  </si>
  <si>
    <t>TKI-156</t>
  </si>
  <si>
    <t>TKI-157</t>
  </si>
  <si>
    <t>TKI-158</t>
  </si>
  <si>
    <t>TKI-159</t>
  </si>
  <si>
    <t>TKI-160</t>
  </si>
  <si>
    <t>TKI-161</t>
  </si>
  <si>
    <t>TKI-162</t>
  </si>
  <si>
    <t>TKI-163</t>
  </si>
  <si>
    <t>TKI-165</t>
  </si>
  <si>
    <t>TKI-166</t>
  </si>
  <si>
    <t>TKI-167</t>
  </si>
  <si>
    <t>TKI-168</t>
  </si>
  <si>
    <t>TKI-169</t>
  </si>
  <si>
    <t>TKI-170</t>
  </si>
  <si>
    <t>TKI-171</t>
  </si>
  <si>
    <t>TKI-172</t>
  </si>
  <si>
    <t>TKI-173</t>
  </si>
  <si>
    <t>TKI-174</t>
  </si>
  <si>
    <t>TKI-175</t>
  </si>
  <si>
    <t>TKI-176</t>
  </si>
  <si>
    <t>TKI-177</t>
  </si>
  <si>
    <t>TKI-178</t>
  </si>
  <si>
    <t>TKI-179</t>
  </si>
  <si>
    <t>TKI-180</t>
  </si>
  <si>
    <t>TKI-181</t>
  </si>
  <si>
    <t>TKI-182</t>
  </si>
  <si>
    <t>TKI-183</t>
  </si>
  <si>
    <t>TKI-184</t>
  </si>
  <si>
    <t>TKI-185</t>
  </si>
  <si>
    <t>TKI-186</t>
  </si>
  <si>
    <t>TKI-187</t>
  </si>
  <si>
    <t>TKI-188</t>
  </si>
  <si>
    <t>TKI-189</t>
  </si>
  <si>
    <t>TKI-190</t>
  </si>
  <si>
    <t>TKI-191</t>
  </si>
  <si>
    <t>TKI-192</t>
  </si>
  <si>
    <t>TKI-193</t>
  </si>
  <si>
    <t>TKI-194</t>
  </si>
  <si>
    <t>TKI-195</t>
  </si>
  <si>
    <t>TKI-196</t>
  </si>
  <si>
    <t>TKI-198</t>
  </si>
  <si>
    <t>TKI-199</t>
  </si>
  <si>
    <t>TKI-200</t>
  </si>
  <si>
    <t>TKI-201</t>
  </si>
  <si>
    <t>TKI-202</t>
  </si>
  <si>
    <t>TKI-203</t>
  </si>
  <si>
    <t>TKI-204</t>
  </si>
  <si>
    <t>TKI-205</t>
  </si>
  <si>
    <t>TKI-206</t>
  </si>
  <si>
    <t>TKI-207</t>
  </si>
  <si>
    <t>TKI-208</t>
  </si>
  <si>
    <t>TKI-209</t>
  </si>
  <si>
    <t>TKI-210</t>
  </si>
  <si>
    <t>TKI-211</t>
  </si>
  <si>
    <t>TKI-212</t>
  </si>
  <si>
    <t>TKI-213</t>
  </si>
  <si>
    <t>TKI-214</t>
  </si>
  <si>
    <t>TKI-215</t>
  </si>
  <si>
    <t>TKI-216</t>
  </si>
  <si>
    <t>TKI-217</t>
  </si>
  <si>
    <t>TKI-218</t>
  </si>
  <si>
    <t>TKI-219</t>
  </si>
  <si>
    <t>TKI-220</t>
  </si>
  <si>
    <t>TKI-221</t>
  </si>
  <si>
    <t>TKI-222</t>
  </si>
  <si>
    <t>TKI-223</t>
  </si>
  <si>
    <t>TKI-224</t>
  </si>
  <si>
    <t>TKI-225</t>
  </si>
  <si>
    <t>TKI-226</t>
  </si>
  <si>
    <t>TKI-227</t>
  </si>
  <si>
    <t>TKI-228</t>
  </si>
  <si>
    <t>TKI-229</t>
  </si>
  <si>
    <t>TKI-230</t>
  </si>
  <si>
    <t>TKI-231</t>
  </si>
  <si>
    <t>TKI-232</t>
  </si>
  <si>
    <t>TKI-233</t>
  </si>
  <si>
    <t>TKI-234</t>
  </si>
  <si>
    <t>TKI-235</t>
  </si>
  <si>
    <t>TKI-236</t>
  </si>
  <si>
    <t>TKI-237</t>
  </si>
  <si>
    <t>TKI-238</t>
  </si>
  <si>
    <t>TKI-239</t>
  </si>
  <si>
    <t>TKI-240</t>
  </si>
  <si>
    <t>TKI-241</t>
  </si>
  <si>
    <t>TKI-242</t>
  </si>
  <si>
    <t>TKI-243</t>
  </si>
  <si>
    <t>TKI-244</t>
  </si>
  <si>
    <t>TKI-245</t>
  </si>
  <si>
    <t>TKI-246</t>
  </si>
  <si>
    <t>TKI-248</t>
  </si>
  <si>
    <t>TKI-249</t>
  </si>
  <si>
    <t>TKI-250</t>
  </si>
  <si>
    <t>TKI-251</t>
  </si>
  <si>
    <t>TKI-252</t>
  </si>
  <si>
    <t>TKI-253</t>
  </si>
  <si>
    <t>TKI-254</t>
  </si>
  <si>
    <t>TKI-255</t>
  </si>
  <si>
    <t>TKI-256</t>
  </si>
  <si>
    <t>TKI-257</t>
  </si>
  <si>
    <t>TKI-258</t>
  </si>
  <si>
    <t>TKI-259</t>
  </si>
  <si>
    <t>TKI-260</t>
  </si>
  <si>
    <t>TKI-261</t>
  </si>
  <si>
    <t>TKI-262</t>
  </si>
  <si>
    <t>TKI-263</t>
  </si>
  <si>
    <t>TKI-264</t>
  </si>
  <si>
    <t>TKI-265</t>
  </si>
  <si>
    <t>TKI-266</t>
  </si>
  <si>
    <t>TKI-267</t>
  </si>
  <si>
    <t>TKI-268</t>
  </si>
  <si>
    <t>TKI-269</t>
  </si>
  <si>
    <t>TKI-270</t>
  </si>
  <si>
    <t>TKI-271</t>
  </si>
  <si>
    <t>TKI-272</t>
  </si>
  <si>
    <t>TKI-273</t>
  </si>
  <si>
    <t>TKI-274</t>
  </si>
  <si>
    <t>TKI-275</t>
  </si>
  <si>
    <t>TKI-276</t>
  </si>
  <si>
    <t>TKI-277</t>
  </si>
  <si>
    <t>TKI-278</t>
  </si>
  <si>
    <t>TKI-279</t>
  </si>
  <si>
    <t>TKI-280</t>
  </si>
  <si>
    <t>TKI-281</t>
  </si>
  <si>
    <t>TKI-282</t>
  </si>
  <si>
    <t>TKI-283</t>
  </si>
  <si>
    <t>TKI-284</t>
  </si>
  <si>
    <t>TKI-285</t>
  </si>
  <si>
    <t>TKI-286</t>
  </si>
  <si>
    <t>TKI-287</t>
  </si>
  <si>
    <t>TKI-288</t>
  </si>
  <si>
    <t>TKI-289</t>
  </si>
  <si>
    <t>TKI-290</t>
  </si>
  <si>
    <t>TKI-291</t>
  </si>
  <si>
    <t>TKI-292</t>
  </si>
  <si>
    <t>TKI-293</t>
  </si>
  <si>
    <t>TKI-294</t>
  </si>
  <si>
    <t>TKI-295</t>
  </si>
  <si>
    <t>TKI-296</t>
  </si>
  <si>
    <t>TKI-297</t>
  </si>
  <si>
    <t>TKI-298</t>
  </si>
  <si>
    <t>TKI-299</t>
  </si>
  <si>
    <t>TKI-300</t>
  </si>
  <si>
    <t>TKI-301</t>
  </si>
  <si>
    <t>TKI-302</t>
  </si>
  <si>
    <t>TKI-303</t>
  </si>
  <si>
    <t>TKI-304</t>
  </si>
  <si>
    <t>TKI-305</t>
  </si>
  <si>
    <t>TKI-306</t>
  </si>
  <si>
    <t>TKI-307</t>
  </si>
  <si>
    <t>TKI-308</t>
  </si>
  <si>
    <t>TKI-309</t>
  </si>
  <si>
    <t>TKI-310</t>
  </si>
  <si>
    <t>TKI-311</t>
  </si>
  <si>
    <t>TKI-312</t>
  </si>
  <si>
    <t>TKI-313</t>
  </si>
  <si>
    <t>TKI-314</t>
  </si>
  <si>
    <t>TKI-315</t>
  </si>
  <si>
    <t>TKI-316</t>
  </si>
  <si>
    <t>TKI-317</t>
  </si>
  <si>
    <t>TKI-318</t>
  </si>
  <si>
    <t>TKI-319</t>
  </si>
  <si>
    <t>TKI-320</t>
  </si>
  <si>
    <t>TKI-321</t>
  </si>
  <si>
    <t>TKI-322</t>
  </si>
  <si>
    <t>TKI-323</t>
  </si>
  <si>
    <t>TKI-324</t>
  </si>
  <si>
    <t>TKI-325</t>
  </si>
  <si>
    <t>TKI-326</t>
  </si>
  <si>
    <t>TKI-327</t>
  </si>
  <si>
    <t>TKI-328</t>
  </si>
  <si>
    <t>TKI-329</t>
  </si>
  <si>
    <t>TKI-330</t>
  </si>
  <si>
    <t>TKI-331</t>
  </si>
  <si>
    <t>TKI-332</t>
  </si>
  <si>
    <t>TKI-333</t>
  </si>
  <si>
    <t>TKI-334</t>
  </si>
  <si>
    <t>TKI-335</t>
  </si>
  <si>
    <t>TKI-336</t>
  </si>
  <si>
    <t>TKI-337</t>
  </si>
  <si>
    <t>TKI-338</t>
  </si>
  <si>
    <t>TKI-339</t>
  </si>
  <si>
    <t>TKI-340</t>
  </si>
  <si>
    <t>TKI-341</t>
  </si>
  <si>
    <t>TKI-342</t>
  </si>
  <si>
    <t>TKI-343</t>
  </si>
  <si>
    <t>TKI-344</t>
  </si>
  <si>
    <t>TKI-345</t>
  </si>
  <si>
    <t>TKI-347</t>
  </si>
  <si>
    <t>TKI-348</t>
  </si>
  <si>
    <t>TKI-351</t>
  </si>
  <si>
    <t>TKI-353</t>
  </si>
  <si>
    <t>TKI-354</t>
  </si>
  <si>
    <t>TKI-355</t>
  </si>
  <si>
    <t>TKI-356</t>
  </si>
  <si>
    <t>TKI-357</t>
  </si>
  <si>
    <t>TKI-358</t>
  </si>
  <si>
    <t>TKI-360</t>
  </si>
  <si>
    <t>TKI-362</t>
  </si>
  <si>
    <t>TKI-364</t>
  </si>
  <si>
    <t>TKI-365</t>
  </si>
  <si>
    <t>TKI-366</t>
  </si>
  <si>
    <t>TKI-367</t>
  </si>
  <si>
    <t>TKI-368</t>
  </si>
  <si>
    <t>TKI-369</t>
  </si>
  <si>
    <t>TKI-371</t>
  </si>
  <si>
    <t>TKI-372</t>
  </si>
  <si>
    <t>TKI-373</t>
  </si>
  <si>
    <t>TKI-374</t>
  </si>
  <si>
    <t>TKI-375</t>
  </si>
  <si>
    <t>TKI-376</t>
  </si>
  <si>
    <t>TKI-378</t>
  </si>
  <si>
    <t>TKI-380</t>
  </si>
  <si>
    <t>TKI-381</t>
  </si>
  <si>
    <t>TKI-382</t>
  </si>
  <si>
    <t>TKI-384</t>
  </si>
  <si>
    <t>TKI-386</t>
  </si>
  <si>
    <t>TKI-387</t>
  </si>
  <si>
    <t>TKI-388</t>
  </si>
  <si>
    <t>TKI-389</t>
  </si>
  <si>
    <t>TKI-390</t>
  </si>
  <si>
    <t>TKI-391</t>
  </si>
  <si>
    <t>TKI-392</t>
  </si>
  <si>
    <t>TKI-393</t>
  </si>
  <si>
    <t>TKI-394</t>
  </si>
  <si>
    <t>TKI-395</t>
  </si>
  <si>
    <t>TKI-396</t>
  </si>
  <si>
    <t>TKI-398</t>
  </si>
  <si>
    <t>TKI-399</t>
  </si>
  <si>
    <t>TKI-400</t>
  </si>
  <si>
    <t>TKI-401</t>
  </si>
  <si>
    <t>TKI-402</t>
  </si>
  <si>
    <t>TKI-403</t>
  </si>
  <si>
    <t>TKI-404</t>
  </si>
  <si>
    <t>TKI-405</t>
  </si>
  <si>
    <t>TKI-406</t>
  </si>
  <si>
    <t>TKI-407</t>
  </si>
  <si>
    <t>TKI-408</t>
  </si>
  <si>
    <t>TKI-409</t>
  </si>
  <si>
    <t>TKI-410</t>
  </si>
  <si>
    <t>TKI-411</t>
  </si>
  <si>
    <t>TKI-412</t>
  </si>
  <si>
    <t>TKI-413</t>
  </si>
  <si>
    <t>TKI-414</t>
  </si>
  <si>
    <t>TKI-415</t>
  </si>
  <si>
    <t>TKI-416</t>
  </si>
  <si>
    <t>TKI-417</t>
  </si>
  <si>
    <t>TKI-418</t>
  </si>
  <si>
    <t>TKI-419</t>
  </si>
  <si>
    <t>TKI-420</t>
  </si>
  <si>
    <t>TKI-421</t>
  </si>
  <si>
    <t>TKI-422</t>
  </si>
  <si>
    <t>TKI-423</t>
  </si>
  <si>
    <t>TKI-424</t>
  </si>
  <si>
    <t>TKI-425</t>
  </si>
  <si>
    <t>TKI-426</t>
  </si>
  <si>
    <t>TKI-427</t>
  </si>
  <si>
    <t>TKI-428</t>
  </si>
  <si>
    <t>TKI-429</t>
  </si>
  <si>
    <t>TKI-430</t>
  </si>
  <si>
    <t>TKI-431</t>
  </si>
  <si>
    <t>TKI-432</t>
  </si>
  <si>
    <t>TKI-433</t>
  </si>
  <si>
    <t>TKI-434</t>
  </si>
  <si>
    <t>TKI-435</t>
  </si>
  <si>
    <t>TKI-436</t>
  </si>
  <si>
    <t>TKI-437</t>
  </si>
  <si>
    <t>TKI-438</t>
  </si>
  <si>
    <t>TKI-439</t>
  </si>
  <si>
    <t>TKI-440</t>
  </si>
  <si>
    <t>TKI-441</t>
  </si>
  <si>
    <t>TKI-442</t>
  </si>
  <si>
    <t>TKI-443</t>
  </si>
  <si>
    <t>TKI-444</t>
  </si>
  <si>
    <t>TKI-445</t>
  </si>
  <si>
    <t>TKI-446</t>
  </si>
  <si>
    <t>TKI-447</t>
  </si>
  <si>
    <t>TKI-448</t>
  </si>
  <si>
    <t>TKI-449</t>
  </si>
  <si>
    <t>TKI-450</t>
  </si>
  <si>
    <t>TKI-451</t>
  </si>
  <si>
    <t>TKI-452</t>
  </si>
  <si>
    <t>TKI-453</t>
  </si>
  <si>
    <t>TKI-454</t>
  </si>
  <si>
    <t>TKI-455</t>
  </si>
  <si>
    <t>TKI-456</t>
  </si>
  <si>
    <t>TKI-462</t>
  </si>
  <si>
    <t>TKI-464</t>
  </si>
  <si>
    <t>TKI-465</t>
  </si>
  <si>
    <t>TKI-466</t>
  </si>
  <si>
    <t>TKI-467</t>
  </si>
  <si>
    <t>TKI-468</t>
  </si>
  <si>
    <t>TKI-469</t>
  </si>
  <si>
    <t>TKI-470</t>
  </si>
  <si>
    <t>TKI-473</t>
  </si>
  <si>
    <t>TKI-474</t>
  </si>
  <si>
    <t>TKI-477</t>
  </si>
  <si>
    <t>TKI-479</t>
  </si>
  <si>
    <t>TKI-481</t>
  </si>
  <si>
    <t>TKI-495</t>
  </si>
  <si>
    <t>Name</t>
  </si>
  <si>
    <t>Seed color</t>
  </si>
  <si>
    <t>Leaf form</t>
  </si>
  <si>
    <t>Flowering time</t>
  </si>
  <si>
    <t>White</t>
  </si>
  <si>
    <t>Black</t>
  </si>
  <si>
    <t>Picture adult</t>
  </si>
  <si>
    <t>Lineage</t>
  </si>
  <si>
    <t>SSD (S1)</t>
  </si>
  <si>
    <t>Production year</t>
  </si>
  <si>
    <t>Sequence analysis</t>
  </si>
  <si>
    <t>Metabolomics analysis</t>
  </si>
  <si>
    <t>Picture juvenile</t>
  </si>
  <si>
    <r>
      <t xml:space="preserve">Rather spiny (as commonly observed for </t>
    </r>
    <r>
      <rPr>
        <i/>
        <sz val="10"/>
        <color theme="1"/>
        <rFont val="Calibri"/>
        <family val="2"/>
        <scheme val="minor"/>
      </rPr>
      <t>L. aculeata</t>
    </r>
    <r>
      <rPr>
        <sz val="10"/>
        <color theme="1"/>
        <rFont val="Calibri"/>
        <family val="2"/>
        <scheme val="minor"/>
      </rPr>
      <t>)</t>
    </r>
  </si>
  <si>
    <t>Flowers more pink than yellow</t>
  </si>
  <si>
    <t>Observations &amp; remarks</t>
  </si>
  <si>
    <t>Not incised</t>
  </si>
  <si>
    <t>Incised</t>
  </si>
  <si>
    <r>
      <t xml:space="preserve">Resembles </t>
    </r>
    <r>
      <rPr>
        <i/>
        <sz val="10"/>
        <color theme="1"/>
        <rFont val="Calibri"/>
        <family val="2"/>
        <scheme val="minor"/>
      </rPr>
      <t>L. sativa</t>
    </r>
    <r>
      <rPr>
        <sz val="10"/>
        <color theme="1"/>
        <rFont val="Calibri"/>
        <family val="2"/>
        <scheme val="minor"/>
      </rPr>
      <t xml:space="preserve"> oilseed (non-shattering)</t>
    </r>
  </si>
  <si>
    <r>
      <t xml:space="preserve">Most likely </t>
    </r>
    <r>
      <rPr>
        <i/>
        <sz val="10"/>
        <color theme="1"/>
        <rFont val="Calibri"/>
        <family val="2"/>
        <scheme val="minor"/>
      </rPr>
      <t>L. altaica</t>
    </r>
    <r>
      <rPr>
        <sz val="10"/>
        <color theme="1"/>
        <rFont val="Calibri"/>
        <family val="2"/>
        <scheme val="minor"/>
      </rPr>
      <t xml:space="preserve"> (leaf morphology)</t>
    </r>
  </si>
  <si>
    <r>
      <t xml:space="preserve">Most likely </t>
    </r>
    <r>
      <rPr>
        <i/>
        <sz val="10"/>
        <color theme="1"/>
        <rFont val="Calibri"/>
        <family val="2"/>
        <scheme val="minor"/>
      </rPr>
      <t>L. sativa</t>
    </r>
    <r>
      <rPr>
        <sz val="10"/>
        <color theme="1"/>
        <rFont val="Calibri"/>
        <family val="2"/>
        <scheme val="minor"/>
      </rPr>
      <t xml:space="preserve"> (leaf morphology)</t>
    </r>
  </si>
  <si>
    <r>
      <t xml:space="preserve">Most likely </t>
    </r>
    <r>
      <rPr>
        <i/>
        <sz val="10"/>
        <color theme="1"/>
        <rFont val="Calibri"/>
        <family val="2"/>
        <scheme val="minor"/>
      </rPr>
      <t xml:space="preserve">L. altaica </t>
    </r>
    <r>
      <rPr>
        <sz val="10"/>
        <color theme="1"/>
        <rFont val="Calibri"/>
        <family val="2"/>
        <scheme val="minor"/>
      </rPr>
      <t>(leaf morphology)</t>
    </r>
  </si>
  <si>
    <r>
      <t xml:space="preserve">Most likely </t>
    </r>
    <r>
      <rPr>
        <i/>
        <sz val="10"/>
        <color theme="1"/>
        <rFont val="Calibri"/>
        <family val="2"/>
        <scheme val="minor"/>
      </rPr>
      <t>L. sativa</t>
    </r>
    <r>
      <rPr>
        <sz val="10"/>
        <color theme="1"/>
        <rFont val="Calibri"/>
        <family val="2"/>
        <scheme val="minor"/>
      </rPr>
      <t xml:space="preserve"> (leaf morphology; non-shattering)</t>
    </r>
  </si>
  <si>
    <r>
      <t>Most likely</t>
    </r>
    <r>
      <rPr>
        <i/>
        <sz val="10"/>
        <color theme="1"/>
        <rFont val="Calibri"/>
        <family val="2"/>
        <scheme val="minor"/>
      </rPr>
      <t xml:space="preserve"> L. sativa</t>
    </r>
    <r>
      <rPr>
        <sz val="10"/>
        <color theme="1"/>
        <rFont val="Calibri"/>
        <family val="2"/>
        <scheme val="minor"/>
      </rPr>
      <t xml:space="preserve"> oilseed (non-shattering)</t>
    </r>
  </si>
  <si>
    <r>
      <t>Possibly</t>
    </r>
    <r>
      <rPr>
        <i/>
        <sz val="10"/>
        <color theme="1"/>
        <rFont val="Calibri"/>
        <family val="2"/>
        <scheme val="minor"/>
      </rPr>
      <t xml:space="preserve"> L. georgica </t>
    </r>
    <r>
      <rPr>
        <sz val="10"/>
        <color theme="1"/>
        <rFont val="Calibri"/>
        <family val="2"/>
        <scheme val="minor"/>
      </rPr>
      <t>(morphology of stem leaves)</t>
    </r>
  </si>
  <si>
    <t>Leaf blistering</t>
  </si>
  <si>
    <t>Leaf margin undulation</t>
  </si>
  <si>
    <t>Leaf anthocyanin distribution</t>
  </si>
  <si>
    <t>Plant diameter</t>
  </si>
  <si>
    <t>Growing conditions</t>
  </si>
  <si>
    <t>Leaf attitude at juvenile stage</t>
  </si>
  <si>
    <t>Leaf blade division at juvenile stage</t>
  </si>
  <si>
    <t>Head formation</t>
  </si>
  <si>
    <t>Head size</t>
  </si>
  <si>
    <t>Leaf attitude at harvest maturity</t>
  </si>
  <si>
    <t>Leaf anthocyanin coloration</t>
  </si>
  <si>
    <t>Leaf glossiness of upper side</t>
  </si>
  <si>
    <t>Size of leaf blisters</t>
  </si>
  <si>
    <t>Leaf margin incisions on apical part</t>
  </si>
  <si>
    <t>Leaf margin density of incisions on apical part</t>
  </si>
  <si>
    <t>Stem fasciation</t>
  </si>
  <si>
    <t>Intensity of stem fasciation</t>
  </si>
  <si>
    <t>LMV strain Ls 1</t>
  </si>
  <si>
    <t>Seedling anthocyanin coloration</t>
  </si>
  <si>
    <t>Head leaves overlap at upper part</t>
  </si>
  <si>
    <t>Head density</t>
  </si>
  <si>
    <t>Head shape in longitudinal section</t>
  </si>
  <si>
    <t>Leaf thickness at harvest maturity</t>
  </si>
  <si>
    <t>leaf shape at harvest maturity</t>
  </si>
  <si>
    <t>Leaf anthocyanin intensity</t>
  </si>
  <si>
    <t>Leaf anthocyanin distribution type</t>
  </si>
  <si>
    <t>Leaf margin depth of incisions on apical part</t>
  </si>
  <si>
    <t>Leaf blade venation</t>
  </si>
  <si>
    <t>Axillary sprouting</t>
  </si>
  <si>
    <t>Time of harvest maturity</t>
  </si>
  <si>
    <t>Time of beginning of bolting</t>
  </si>
  <si>
    <t>Picture seeds</t>
  </si>
  <si>
    <r>
      <t xml:space="preserve">Species name changed from </t>
    </r>
    <r>
      <rPr>
        <i/>
        <sz val="10"/>
        <color theme="1"/>
        <rFont val="Calibri"/>
        <family val="2"/>
        <scheme val="minor"/>
      </rPr>
      <t>L. saligna</t>
    </r>
    <r>
      <rPr>
        <sz val="10"/>
        <color theme="1"/>
        <rFont val="Calibri"/>
        <family val="2"/>
        <scheme val="minor"/>
      </rPr>
      <t xml:space="preserve"> to </t>
    </r>
    <r>
      <rPr>
        <i/>
        <sz val="10"/>
        <color theme="1"/>
        <rFont val="Calibri"/>
        <family val="2"/>
        <scheme val="minor"/>
      </rPr>
      <t>L. altaica</t>
    </r>
    <r>
      <rPr>
        <sz val="10"/>
        <color theme="1"/>
        <rFont val="Calibri"/>
        <family val="2"/>
        <scheme val="minor"/>
      </rPr>
      <t xml:space="preserve"> (leaf morphology, flowering time and earlier observations)</t>
    </r>
  </si>
  <si>
    <r>
      <t xml:space="preserve">Species name changed from </t>
    </r>
    <r>
      <rPr>
        <i/>
        <sz val="10"/>
        <color theme="1"/>
        <rFont val="Calibri"/>
        <family val="2"/>
        <scheme val="minor"/>
      </rPr>
      <t>L. virosa</t>
    </r>
    <r>
      <rPr>
        <sz val="10"/>
        <color theme="1"/>
        <rFont val="Calibri"/>
        <family val="2"/>
        <scheme val="minor"/>
      </rPr>
      <t xml:space="preserve"> to </t>
    </r>
    <r>
      <rPr>
        <i/>
        <sz val="10"/>
        <color theme="1"/>
        <rFont val="Calibri"/>
        <family val="2"/>
        <scheme val="minor"/>
      </rPr>
      <t>L. georgica</t>
    </r>
    <r>
      <rPr>
        <sz val="10"/>
        <color theme="1"/>
        <rFont val="Calibri"/>
        <family val="2"/>
        <scheme val="minor"/>
      </rPr>
      <t xml:space="preserve"> (leaf morphology and earlier AFLP data)</t>
    </r>
  </si>
  <si>
    <r>
      <t xml:space="preserve">Possibly not </t>
    </r>
    <r>
      <rPr>
        <i/>
        <sz val="10"/>
        <color theme="1"/>
        <rFont val="Calibri"/>
        <family val="2"/>
        <scheme val="minor"/>
      </rPr>
      <t>L. serriola</t>
    </r>
    <r>
      <rPr>
        <sz val="10"/>
        <color theme="1"/>
        <rFont val="Calibri"/>
        <family val="2"/>
        <scheme val="minor"/>
      </rPr>
      <t xml:space="preserve"> (shattering and non-shattering on same plant)</t>
    </r>
  </si>
  <si>
    <r>
      <t xml:space="preserve">Possibly </t>
    </r>
    <r>
      <rPr>
        <i/>
        <sz val="10"/>
        <color theme="1"/>
        <rFont val="Calibri"/>
        <family val="2"/>
        <scheme val="minor"/>
      </rPr>
      <t>L. sativa</t>
    </r>
    <r>
      <rPr>
        <sz val="10"/>
        <color theme="1"/>
        <rFont val="Calibri"/>
        <family val="2"/>
        <scheme val="minor"/>
      </rPr>
      <t xml:space="preserve"> (leaf morphology) although shattering</t>
    </r>
  </si>
  <si>
    <r>
      <t xml:space="preserve">Possibly </t>
    </r>
    <r>
      <rPr>
        <i/>
        <sz val="10"/>
        <color theme="1"/>
        <rFont val="Calibri"/>
        <family val="2"/>
        <scheme val="minor"/>
      </rPr>
      <t xml:space="preserve">L. sativa </t>
    </r>
    <r>
      <rPr>
        <sz val="10"/>
        <color theme="1"/>
        <rFont val="Calibri"/>
        <family val="2"/>
        <scheme val="minor"/>
      </rPr>
      <t>oilseed (leaf morphology) although shattering</t>
    </r>
  </si>
  <si>
    <r>
      <rPr>
        <b/>
        <i/>
        <sz val="10"/>
        <rFont val="Calibri"/>
        <family val="2"/>
        <scheme val="minor"/>
      </rPr>
      <t>Nasonovia ribisnigri</t>
    </r>
    <r>
      <rPr>
        <b/>
        <sz val="10"/>
        <rFont val="Calibri"/>
        <family val="2"/>
        <scheme val="minor"/>
      </rPr>
      <t xml:space="preserve"> Nr:0</t>
    </r>
  </si>
  <si>
    <r>
      <t xml:space="preserve">Bremia lactucae </t>
    </r>
    <r>
      <rPr>
        <b/>
        <sz val="10"/>
        <rFont val="Calibri"/>
        <family val="2"/>
        <scheme val="minor"/>
      </rPr>
      <t>Bl:1</t>
    </r>
  </si>
  <si>
    <r>
      <t>Bremia lactucae</t>
    </r>
    <r>
      <rPr>
        <b/>
        <sz val="10"/>
        <rFont val="Calibri"/>
        <family val="2"/>
        <scheme val="minor"/>
      </rPr>
      <t xml:space="preserve"> Bl:3</t>
    </r>
  </si>
  <si>
    <r>
      <t xml:space="preserve">Bremia lactucae </t>
    </r>
    <r>
      <rPr>
        <b/>
        <sz val="10"/>
        <rFont val="Calibri"/>
        <family val="2"/>
        <scheme val="minor"/>
      </rPr>
      <t>Bl:2</t>
    </r>
  </si>
  <si>
    <r>
      <t>Bremia lactucae</t>
    </r>
    <r>
      <rPr>
        <b/>
        <sz val="10"/>
        <rFont val="Calibri"/>
        <family val="2"/>
        <scheme val="minor"/>
      </rPr>
      <t xml:space="preserve"> Bl:4</t>
    </r>
  </si>
  <si>
    <r>
      <t xml:space="preserve">Bremia lactucae </t>
    </r>
    <r>
      <rPr>
        <b/>
        <sz val="10"/>
        <rFont val="Calibri"/>
        <family val="2"/>
        <scheme val="minor"/>
      </rPr>
      <t>Bl:5</t>
    </r>
  </si>
  <si>
    <r>
      <t xml:space="preserve">Bremia lactucae </t>
    </r>
    <r>
      <rPr>
        <b/>
        <sz val="10"/>
        <rFont val="Calibri"/>
        <family val="2"/>
        <scheme val="minor"/>
      </rPr>
      <t>Bl:6</t>
    </r>
  </si>
  <si>
    <r>
      <t xml:space="preserve">Bremia lactucae </t>
    </r>
    <r>
      <rPr>
        <b/>
        <sz val="10"/>
        <rFont val="Calibri"/>
        <family val="2"/>
        <scheme val="minor"/>
      </rPr>
      <t>Bl:7</t>
    </r>
  </si>
  <si>
    <r>
      <t xml:space="preserve">Bremia lactucae </t>
    </r>
    <r>
      <rPr>
        <b/>
        <sz val="10"/>
        <rFont val="Calibri"/>
        <family val="2"/>
        <scheme val="minor"/>
      </rPr>
      <t>Bl:10</t>
    </r>
  </si>
  <si>
    <r>
      <t xml:space="preserve">Bremia lactucae </t>
    </r>
    <r>
      <rPr>
        <b/>
        <sz val="10"/>
        <rFont val="Calibri"/>
        <family val="2"/>
        <scheme val="minor"/>
      </rPr>
      <t>Bl:11</t>
    </r>
  </si>
  <si>
    <r>
      <t xml:space="preserve">Bremia lactucae </t>
    </r>
    <r>
      <rPr>
        <b/>
        <sz val="10"/>
        <rFont val="Calibri"/>
        <family val="2"/>
        <scheme val="minor"/>
      </rPr>
      <t>Bl:12</t>
    </r>
  </si>
  <si>
    <r>
      <t xml:space="preserve">Bremia lactucae </t>
    </r>
    <r>
      <rPr>
        <b/>
        <sz val="10"/>
        <rFont val="Calibri"/>
        <family val="2"/>
        <scheme val="minor"/>
      </rPr>
      <t>Bl:13</t>
    </r>
  </si>
  <si>
    <r>
      <t xml:space="preserve">Bremia lactucae </t>
    </r>
    <r>
      <rPr>
        <b/>
        <sz val="10"/>
        <rFont val="Calibri"/>
        <family val="2"/>
        <scheme val="minor"/>
      </rPr>
      <t>Bl:14</t>
    </r>
  </si>
  <si>
    <r>
      <t>Bremia lactucae</t>
    </r>
    <r>
      <rPr>
        <b/>
        <sz val="10"/>
        <rFont val="Calibri"/>
        <family val="2"/>
        <scheme val="minor"/>
      </rPr>
      <t xml:space="preserve"> Bl:15</t>
    </r>
  </si>
  <si>
    <r>
      <t xml:space="preserve">Bremia lactucae </t>
    </r>
    <r>
      <rPr>
        <b/>
        <sz val="10"/>
        <rFont val="Calibri"/>
        <family val="2"/>
        <scheme val="minor"/>
      </rPr>
      <t>Bl:16</t>
    </r>
  </si>
  <si>
    <r>
      <t xml:space="preserve">Bremia lactucae </t>
    </r>
    <r>
      <rPr>
        <b/>
        <sz val="10"/>
        <rFont val="Calibri"/>
        <family val="2"/>
        <scheme val="minor"/>
      </rPr>
      <t>Bl:17</t>
    </r>
  </si>
  <si>
    <r>
      <t xml:space="preserve">Bremia lactucae </t>
    </r>
    <r>
      <rPr>
        <b/>
        <sz val="10"/>
        <rFont val="Calibri"/>
        <family val="2"/>
        <scheme val="minor"/>
      </rPr>
      <t>Bl:18</t>
    </r>
  </si>
  <si>
    <r>
      <t xml:space="preserve">Bremia lactucae </t>
    </r>
    <r>
      <rPr>
        <b/>
        <sz val="10"/>
        <rFont val="Calibri"/>
        <family val="2"/>
        <scheme val="minor"/>
      </rPr>
      <t>Bl:19</t>
    </r>
  </si>
  <si>
    <r>
      <t xml:space="preserve">Bremia lactucae </t>
    </r>
    <r>
      <rPr>
        <b/>
        <sz val="10"/>
        <rFont val="Calibri"/>
        <family val="2"/>
        <scheme val="minor"/>
      </rPr>
      <t>Bl:20</t>
    </r>
  </si>
  <si>
    <r>
      <t xml:space="preserve">Bremia lactucae </t>
    </r>
    <r>
      <rPr>
        <b/>
        <sz val="10"/>
        <rFont val="Calibri"/>
        <family val="2"/>
        <scheme val="minor"/>
      </rPr>
      <t>Bl:21</t>
    </r>
  </si>
  <si>
    <r>
      <t xml:space="preserve">Bremia lactucae </t>
    </r>
    <r>
      <rPr>
        <b/>
        <sz val="10"/>
        <rFont val="Calibri"/>
        <family val="2"/>
        <scheme val="minor"/>
      </rPr>
      <t>Bl:22</t>
    </r>
  </si>
  <si>
    <r>
      <t xml:space="preserve">Bremia lactucae </t>
    </r>
    <r>
      <rPr>
        <b/>
        <sz val="10"/>
        <rFont val="Calibri"/>
        <family val="2"/>
        <scheme val="minor"/>
      </rPr>
      <t>Bl:23</t>
    </r>
  </si>
  <si>
    <r>
      <t xml:space="preserve">Bremia lactucae </t>
    </r>
    <r>
      <rPr>
        <b/>
        <sz val="10"/>
        <rFont val="Calibri"/>
        <family val="2"/>
        <scheme val="minor"/>
      </rPr>
      <t>Bl:24</t>
    </r>
  </si>
  <si>
    <r>
      <t xml:space="preserve">Bremia lactucae </t>
    </r>
    <r>
      <rPr>
        <b/>
        <sz val="10"/>
        <rFont val="Calibri"/>
        <family val="2"/>
        <scheme val="minor"/>
      </rPr>
      <t>Bl:25</t>
    </r>
  </si>
  <si>
    <r>
      <t xml:space="preserve">Bremia lactucae </t>
    </r>
    <r>
      <rPr>
        <b/>
        <sz val="10"/>
        <rFont val="Calibri"/>
        <family val="2"/>
        <scheme val="minor"/>
      </rPr>
      <t>Bl:26</t>
    </r>
  </si>
  <si>
    <r>
      <t xml:space="preserve">Most likely </t>
    </r>
    <r>
      <rPr>
        <i/>
        <sz val="10"/>
        <color theme="1"/>
        <rFont val="Calibri"/>
        <family val="2"/>
        <scheme val="minor"/>
      </rPr>
      <t>L. sativa</t>
    </r>
    <r>
      <rPr>
        <sz val="10"/>
        <color theme="1"/>
        <rFont val="Calibri"/>
        <family val="2"/>
        <scheme val="minor"/>
      </rPr>
      <t xml:space="preserve"> (large seeds; non-shattering)</t>
    </r>
  </si>
  <si>
    <r>
      <t xml:space="preserve">Clusters with </t>
    </r>
    <r>
      <rPr>
        <i/>
        <sz val="10"/>
        <color theme="1"/>
        <rFont val="Calibri"/>
        <family val="2"/>
        <scheme val="minor"/>
      </rPr>
      <t>L. serriola</t>
    </r>
    <r>
      <rPr>
        <sz val="10"/>
        <color theme="1"/>
        <rFont val="Calibri"/>
        <family val="2"/>
        <scheme val="minor"/>
      </rPr>
      <t xml:space="preserve"> lines based on metabolomics data</t>
    </r>
  </si>
  <si>
    <t>Picture flowers</t>
  </si>
  <si>
    <t>Institute</t>
  </si>
  <si>
    <t>Accession</t>
  </si>
  <si>
    <t>Species</t>
  </si>
  <si>
    <t>Population type</t>
  </si>
  <si>
    <t>Country</t>
  </si>
  <si>
    <t>Year</t>
  </si>
  <si>
    <t>Secondary name</t>
  </si>
  <si>
    <t>Crop type</t>
  </si>
  <si>
    <t>Cultivar type</t>
  </si>
  <si>
    <t>Cultivation</t>
  </si>
  <si>
    <t>Characteristics</t>
  </si>
  <si>
    <t>URL</t>
  </si>
  <si>
    <t>Homogeneity</t>
  </si>
  <si>
    <t>Seedling size</t>
  </si>
  <si>
    <t>Seedling cotyledon shape</t>
  </si>
  <si>
    <t>Seedling cotyledon color</t>
  </si>
  <si>
    <t>Seedling anthocyanin presence</t>
  </si>
  <si>
    <t>Leaf shape cultivated material</t>
  </si>
  <si>
    <t>Leaf shape wild material</t>
  </si>
  <si>
    <t>Leaf thickness</t>
  </si>
  <si>
    <t>Leaf venation</t>
  </si>
  <si>
    <t>Leaf division</t>
  </si>
  <si>
    <t>Leaf tip shape</t>
  </si>
  <si>
    <t>Leaf color</t>
  </si>
  <si>
    <t>Leaf color intensity</t>
  </si>
  <si>
    <t>Leaf anthocyanin content</t>
  </si>
  <si>
    <t>Leaf anthocyanin pattern</t>
  </si>
  <si>
    <t>Leaf vein prickles presence</t>
  </si>
  <si>
    <t>Leaf vein prickles extent</t>
  </si>
  <si>
    <t>Incision of rosette leaves</t>
  </si>
  <si>
    <t>Incision of cauline leaves</t>
  </si>
  <si>
    <t>Side shoot formation tendency</t>
  </si>
  <si>
    <t>Tipburn sensitivity</t>
  </si>
  <si>
    <t>Head shape</t>
  </si>
  <si>
    <t>Head leafs overlap</t>
  </si>
  <si>
    <t>Head height</t>
  </si>
  <si>
    <t>Heart formation</t>
  </si>
  <si>
    <t>Time until marketable maturity</t>
  </si>
  <si>
    <t>Harvesting time</t>
  </si>
  <si>
    <t>Stem diameter</t>
  </si>
  <si>
    <t>Stem anthocyanin presence</t>
  </si>
  <si>
    <t>Stem anthocyanin content</t>
  </si>
  <si>
    <t>Stem prickles presence</t>
  </si>
  <si>
    <t>Stem prickles extent</t>
  </si>
  <si>
    <t>Flower color</t>
  </si>
  <si>
    <t>Flower anthocyanin presence</t>
  </si>
  <si>
    <t>ß-carotene content</t>
  </si>
  <si>
    <t>Iron content</t>
  </si>
  <si>
    <t>Nitrate content</t>
  </si>
  <si>
    <t>Sclerotinia sclerotiorum</t>
  </si>
  <si>
    <r>
      <rPr>
        <b/>
        <i/>
        <sz val="10"/>
        <color theme="1"/>
        <rFont val="Calibri"/>
        <family val="2"/>
        <scheme val="minor"/>
      </rPr>
      <t>Macros. euphorbiae</t>
    </r>
    <r>
      <rPr>
        <b/>
        <sz val="10"/>
        <color theme="1"/>
        <rFont val="Calibri"/>
        <family val="2"/>
        <scheme val="minor"/>
      </rPr>
      <t xml:space="preserve"> field resistance</t>
    </r>
  </si>
  <si>
    <r>
      <rPr>
        <b/>
        <i/>
        <sz val="10"/>
        <color theme="1"/>
        <rFont val="Calibri"/>
        <family val="2"/>
        <scheme val="minor"/>
      </rPr>
      <t>Macros. euphorbiae</t>
    </r>
    <r>
      <rPr>
        <b/>
        <sz val="10"/>
        <color theme="1"/>
        <rFont val="Calibri"/>
        <family val="2"/>
        <scheme val="minor"/>
      </rPr>
      <t xml:space="preserve"> greenhouse test</t>
    </r>
  </si>
  <si>
    <t>Uroleucon sonchi</t>
  </si>
  <si>
    <t>Pemphigus bursarius</t>
  </si>
  <si>
    <r>
      <rPr>
        <b/>
        <i/>
        <sz val="10"/>
        <color theme="1"/>
        <rFont val="Calibri"/>
        <family val="2"/>
        <scheme val="minor"/>
      </rPr>
      <t>Nasonovia ribisnigri</t>
    </r>
    <r>
      <rPr>
        <b/>
        <sz val="10"/>
        <color theme="1"/>
        <rFont val="Calibri"/>
        <family val="2"/>
        <scheme val="minor"/>
      </rPr>
      <t xml:space="preserve">              field resistance</t>
    </r>
  </si>
  <si>
    <r>
      <rPr>
        <b/>
        <i/>
        <sz val="10"/>
        <color theme="1"/>
        <rFont val="Calibri"/>
        <family val="2"/>
        <scheme val="minor"/>
      </rPr>
      <t>Nasonovia ribisnigri</t>
    </r>
    <r>
      <rPr>
        <b/>
        <sz val="10"/>
        <color theme="1"/>
        <rFont val="Calibri"/>
        <family val="2"/>
        <scheme val="minor"/>
      </rPr>
      <t xml:space="preserve"> Nr:0 labtest</t>
    </r>
  </si>
  <si>
    <t>Tomato spotted wilt virus</t>
  </si>
  <si>
    <t>Erwinia carotovora</t>
  </si>
  <si>
    <t>Erysiphe cichoracearum</t>
  </si>
  <si>
    <r>
      <t xml:space="preserve">Bremia lactucae </t>
    </r>
    <r>
      <rPr>
        <b/>
        <sz val="10"/>
        <color theme="1"/>
        <rFont val="Calibri"/>
        <family val="2"/>
        <scheme val="minor"/>
      </rPr>
      <t>Bl:1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</si>
  <si>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Bl:2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</si>
  <si>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Bl:3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</si>
  <si>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Bl:4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</si>
  <si>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Bl:5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</si>
  <si>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Bl:6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</si>
  <si>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Bl:7</t>
    </r>
  </si>
  <si>
    <r>
      <t>Bremia lactucae</t>
    </r>
    <r>
      <rPr>
        <b/>
        <sz val="10"/>
        <color theme="1"/>
        <rFont val="Calibri"/>
        <family val="2"/>
        <scheme val="minor"/>
      </rPr>
      <t xml:space="preserve"> Bl:10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</si>
  <si>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Bl:11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</si>
  <si>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Bl:12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</si>
  <si>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Bl:13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</si>
  <si>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Bl:14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</si>
  <si>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Bl:15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</si>
  <si>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Bl:16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</si>
  <si>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Bl:17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</si>
  <si>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Bl:18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</si>
  <si>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Bl:19</t>
    </r>
  </si>
  <si>
    <r>
      <t>Bremia lactucae</t>
    </r>
    <r>
      <rPr>
        <b/>
        <sz val="10"/>
        <color theme="1"/>
        <rFont val="Calibri"/>
        <family val="2"/>
        <scheme val="minor"/>
      </rPr>
      <t xml:space="preserve"> Bl:20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</si>
  <si>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Bl:21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</si>
  <si>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Bl:22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</si>
  <si>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Bl:23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</si>
  <si>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Bl:24</t>
    </r>
  </si>
  <si>
    <r>
      <t>Bremia lactucae</t>
    </r>
    <r>
      <rPr>
        <b/>
        <sz val="10"/>
        <color theme="1"/>
        <rFont val="Calibri"/>
        <family val="2"/>
        <scheme val="minor"/>
      </rPr>
      <t xml:space="preserve"> Bl:25</t>
    </r>
  </si>
  <si>
    <r>
      <t>Bremia lactucae</t>
    </r>
    <r>
      <rPr>
        <b/>
        <sz val="10"/>
        <color theme="1"/>
        <rFont val="Calibri"/>
        <family val="2"/>
        <scheme val="minor"/>
      </rPr>
      <t xml:space="preserve"> Bl:26</t>
    </r>
  </si>
  <si>
    <r>
      <t>Bremia lactucae</t>
    </r>
    <r>
      <rPr>
        <b/>
        <sz val="10"/>
        <color theme="1"/>
        <rFont val="Calibri"/>
        <family val="2"/>
        <scheme val="minor"/>
      </rPr>
      <t xml:space="preserve"> Bl:27</t>
    </r>
  </si>
  <si>
    <r>
      <t>Bremia lactucae</t>
    </r>
    <r>
      <rPr>
        <b/>
        <sz val="10"/>
        <color theme="1"/>
        <rFont val="Calibri"/>
        <family val="2"/>
        <scheme val="minor"/>
      </rPr>
      <t xml:space="preserve"> Bl:28</t>
    </r>
  </si>
  <si>
    <r>
      <t>Bremia lactucae</t>
    </r>
    <r>
      <rPr>
        <b/>
        <sz val="10"/>
        <color theme="1"/>
        <rFont val="Calibri"/>
        <family val="2"/>
        <scheme val="minor"/>
      </rPr>
      <t xml:space="preserve"> Bl:29</t>
    </r>
  </si>
  <si>
    <r>
      <t>Bremia lactucae</t>
    </r>
    <r>
      <rPr>
        <b/>
        <sz val="10"/>
        <color theme="1"/>
        <rFont val="Calibri"/>
        <family val="2"/>
        <scheme val="minor"/>
      </rPr>
      <t xml:space="preserve"> Bl:30</t>
    </r>
  </si>
  <si>
    <r>
      <t>Bremia lactucae</t>
    </r>
    <r>
      <rPr>
        <b/>
        <sz val="10"/>
        <color theme="1"/>
        <rFont val="Calibri"/>
        <family val="2"/>
        <scheme val="minor"/>
      </rPr>
      <t xml:space="preserve"> Bl:31</t>
    </r>
  </si>
  <si>
    <r>
      <t>Bremia lactucae</t>
    </r>
    <r>
      <rPr>
        <b/>
        <sz val="10"/>
        <color theme="1"/>
        <rFont val="Calibri"/>
        <family val="2"/>
        <scheme val="minor"/>
      </rPr>
      <t xml:space="preserve"> S1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</si>
  <si>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SF1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</si>
  <si>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CS9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</si>
  <si>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IL4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</si>
  <si>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TV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</si>
  <si>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CSK 12/81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</si>
  <si>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CSK 26/81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</si>
  <si>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CSK 27/81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</si>
  <si>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CSK 1/82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</si>
  <si>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CSK 2/82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</si>
  <si>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CSK 3/82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</si>
  <si>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CSK 4/82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</si>
  <si>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 xml:space="preserve">USA 92O47 </t>
    </r>
  </si>
  <si>
    <r>
      <t xml:space="preserve">Bremia lactucae     </t>
    </r>
    <r>
      <rPr>
        <b/>
        <sz val="10"/>
        <color theme="1"/>
        <rFont val="Calibri"/>
        <family val="2"/>
        <scheme val="minor"/>
      </rPr>
      <t>USA 92D53-10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</si>
  <si>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USA 93D11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</si>
  <si>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USA 93D12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</si>
  <si>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USA 93D13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</si>
  <si>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USA 93D14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</si>
  <si>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DEU FS1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</si>
  <si>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DEU SR2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</si>
  <si>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DEU SAW1</t>
    </r>
  </si>
  <si>
    <r>
      <t xml:space="preserve">Bremia lactucae </t>
    </r>
    <r>
      <rPr>
        <b/>
        <sz val="10"/>
        <color theme="1"/>
        <rFont val="Calibri"/>
        <family val="2"/>
        <scheme val="minor"/>
      </rPr>
      <t>DEU DEG2</t>
    </r>
  </si>
  <si>
    <r>
      <t xml:space="preserve">Bremia lactucae           </t>
    </r>
    <r>
      <rPr>
        <b/>
        <sz val="10"/>
        <color theme="1"/>
        <rFont val="Calibri"/>
        <family val="2"/>
        <scheme val="minor"/>
      </rPr>
      <t>field resistance</t>
    </r>
  </si>
  <si>
    <t>CGN</t>
  </si>
  <si>
    <t>CGN04496</t>
  </si>
  <si>
    <t>L. sativa</t>
  </si>
  <si>
    <t>Cultivar</t>
  </si>
  <si>
    <t>NLD</t>
  </si>
  <si>
    <t>Butterhead</t>
  </si>
  <si>
    <t>Indoor</t>
  </si>
  <si>
    <t>http://cgngenis.wur.nl/AccessionDetails.aspx?acnumber=CGN04496</t>
  </si>
  <si>
    <t>CGN04528</t>
  </si>
  <si>
    <t>FRA</t>
  </si>
  <si>
    <t>Beurre a Grosse Pomme; Blonde Paresseuse de Stuttgart; Mammoth</t>
  </si>
  <si>
    <t>http://cgngenis.wur.nl/AccessionDetails.aspx?acnumber=CGN04528</t>
  </si>
  <si>
    <t>CGN04536</t>
  </si>
  <si>
    <t>http://cgngenis.wur.nl/AccessionDetails.aspx?acnumber=CGN04536</t>
  </si>
  <si>
    <t>CGN04574</t>
  </si>
  <si>
    <t>http://cgngenis.wur.nl/AccessionDetails.aspx?acnumber=CGN04574</t>
  </si>
  <si>
    <t>CGN04613</t>
  </si>
  <si>
    <t>BEL</t>
  </si>
  <si>
    <t>Outdoor</t>
  </si>
  <si>
    <t>http://cgngenis.wur.nl/AccessionDetails.aspx?acnumber=CGN04613</t>
  </si>
  <si>
    <t>CGN04614</t>
  </si>
  <si>
    <t>NZ 1251</t>
  </si>
  <si>
    <t>Trotzkopf Gelber</t>
  </si>
  <si>
    <t>http://cgngenis.wur.nl/AccessionDetails.aspx?acnumber=CGN04614</t>
  </si>
  <si>
    <t>CGN04618</t>
  </si>
  <si>
    <t>DEU</t>
  </si>
  <si>
    <t>http://cgngenis.wur.nl/AccessionDetails.aspx?acnumber=CGN04618</t>
  </si>
  <si>
    <t>CGN04713</t>
  </si>
  <si>
    <t>http://cgngenis.wur.nl/AccessionDetails.aspx?acnumber=CGN04713</t>
  </si>
  <si>
    <t>ITA</t>
  </si>
  <si>
    <t>CGN04818</t>
  </si>
  <si>
    <t>Maikonig; May King; Spring Beauty</t>
  </si>
  <si>
    <t>Maikonig</t>
  </si>
  <si>
    <t>http://cgngenis.wur.nl/AccessionDetails.aspx?acnumber=CGN04818</t>
  </si>
  <si>
    <t>CGN04828</t>
  </si>
  <si>
    <t>Rougette de Montpellier; Reddisch Montpellier; Rotlich Montpellier</t>
  </si>
  <si>
    <t>http://cgngenis.wur.nl/AccessionDetails.aspx?acnumber=CGN04828</t>
  </si>
  <si>
    <t>CGN04888</t>
  </si>
  <si>
    <t>USA</t>
  </si>
  <si>
    <t>http://cgngenis.wur.nl/AccessionDetails.aspx?acnumber=CGN04888</t>
  </si>
  <si>
    <t>CGN04895</t>
  </si>
  <si>
    <t>Kagraner Sommer</t>
  </si>
  <si>
    <t>http://cgngenis.wur.nl/AccessionDetails.aspx?acnumber=CGN04895</t>
  </si>
  <si>
    <t>CGN05121</t>
  </si>
  <si>
    <t>2052/76</t>
  </si>
  <si>
    <t>http://cgngenis.wur.nl/AccessionDetails.aspx?acnumber=CGN05121</t>
  </si>
  <si>
    <t>CGN05140</t>
  </si>
  <si>
    <t>541</t>
  </si>
  <si>
    <t>Bremia differential S9 (Dm gene 11)</t>
  </si>
  <si>
    <t>http://cgngenis.wur.nl/AccessionDetails.aspx?acnumber=CGN05140</t>
  </si>
  <si>
    <t>CGN05163</t>
  </si>
  <si>
    <t>Type 39</t>
  </si>
  <si>
    <t>Some tolerance to CMV</t>
  </si>
  <si>
    <t>http://cgngenis.wur.nl/AccessionDetails.aspx?acnumber=CGN05163</t>
  </si>
  <si>
    <t>CGN05175</t>
  </si>
  <si>
    <t>White Marvel of Cazard July Queen; Cazard Festkopfiger Julikonig</t>
  </si>
  <si>
    <t>Cazard</t>
  </si>
  <si>
    <t>http://cgngenis.wur.nl/AccessionDetails.aspx?acnumber=CGN05175</t>
  </si>
  <si>
    <t>CGN05201</t>
  </si>
  <si>
    <t>http://cgngenis.wur.nl/AccessionDetails.aspx?acnumber=CGN05201</t>
  </si>
  <si>
    <t>CGN05246</t>
  </si>
  <si>
    <t>DNK</t>
  </si>
  <si>
    <t>Gotte Jaune d'Or</t>
  </si>
  <si>
    <t>http://cgngenis.wur.nl/AccessionDetails.aspx?acnumber=CGN05246</t>
  </si>
  <si>
    <t>CGN05257</t>
  </si>
  <si>
    <t>Sans Rivale a Graine Noire</t>
  </si>
  <si>
    <t>http://cgngenis.wur.nl/AccessionDetails.aspx?acnumber=CGN05257</t>
  </si>
  <si>
    <t>CGN05281</t>
  </si>
  <si>
    <t>http://cgngenis.wur.nl/AccessionDetails.aspx?acnumber=CGN05281</t>
  </si>
  <si>
    <t>CGN05813</t>
  </si>
  <si>
    <t>GBR</t>
  </si>
  <si>
    <t>Bremia differential S3 (Dm gene 3)</t>
  </si>
  <si>
    <t>http://cgngenis.wur.nl/AccessionDetails.aspx?acnumber=CGN05813</t>
  </si>
  <si>
    <t>CGN05957</t>
  </si>
  <si>
    <t>Research line</t>
  </si>
  <si>
    <t>SWE</t>
  </si>
  <si>
    <t>http://cgngenis.wur.nl/AccessionDetails.aspx?acnumber=CGN05957</t>
  </si>
  <si>
    <t>CGN05959</t>
  </si>
  <si>
    <t>http://cgngenis.wur.nl/AccessionDetails.aspx?acnumber=CGN05959</t>
  </si>
  <si>
    <t>CGN05972</t>
  </si>
  <si>
    <t>TAPRCA VII-10-70</t>
  </si>
  <si>
    <t>http://cgngenis.wur.nl/AccessionDetails.aspx?acnumber=CGN05972</t>
  </si>
  <si>
    <t>CGN06009</t>
  </si>
  <si>
    <t>http://cgngenis.wur.nl/AccessionDetails.aspx?acnumber=CGN06009</t>
  </si>
  <si>
    <t>CGN09328</t>
  </si>
  <si>
    <t>Laitue Royale; All the Year Round; Royal Summer; Prinzenkopf Grosser Gelber</t>
  </si>
  <si>
    <t>http://cgngenis.wur.nl/AccessionDetails.aspx?acnumber=CGN09328</t>
  </si>
  <si>
    <t>CGN09337</t>
  </si>
  <si>
    <t>SUN</t>
  </si>
  <si>
    <t>LAC 56/72</t>
  </si>
  <si>
    <t>Grows well under low light conditions</t>
  </si>
  <si>
    <t>http://cgngenis.wur.nl/AccessionDetails.aspx?acnumber=CGN09337</t>
  </si>
  <si>
    <t>CGN09340</t>
  </si>
  <si>
    <t>URY</t>
  </si>
  <si>
    <t>http://cgngenis.wur.nl/AccessionDetails.aspx?acnumber=CGN09340</t>
  </si>
  <si>
    <t>CGN09341</t>
  </si>
  <si>
    <t>http://cgngenis.wur.nl/AccessionDetails.aspx?acnumber=CGN09341</t>
  </si>
  <si>
    <t>CGN09380</t>
  </si>
  <si>
    <t>741455</t>
  </si>
  <si>
    <t>Bremia differential S6 (Dm gene 6)</t>
  </si>
  <si>
    <t>http://cgngenis.wur.nl/AccessionDetails.aspx?acnumber=CGN09380</t>
  </si>
  <si>
    <t>CGN10910</t>
  </si>
  <si>
    <t>SRB</t>
  </si>
  <si>
    <t>PI 379354</t>
  </si>
  <si>
    <t>http://cgngenis.wur.nl/AccessionDetails.aspx?acnumber=CGN10910</t>
  </si>
  <si>
    <t>CGN10945</t>
  </si>
  <si>
    <t>http://cgngenis.wur.nl/AccessionDetails.aspx?acnumber=CGN10945</t>
  </si>
  <si>
    <t>CGN10961</t>
  </si>
  <si>
    <t>http://cgngenis.wur.nl/AccessionDetails.aspx?acnumber=CGN10961</t>
  </si>
  <si>
    <t>CGN10965</t>
  </si>
  <si>
    <t>Fasciation</t>
  </si>
  <si>
    <t>http://cgngenis.wur.nl/AccessionDetails.aspx?acnumber=CGN10965</t>
  </si>
  <si>
    <t>CGN10966</t>
  </si>
  <si>
    <t>1364-80</t>
  </si>
  <si>
    <t>Bremia differential S20 (Dm gene 18)</t>
  </si>
  <si>
    <t>http://cgngenis.wur.nl/AccessionDetails.aspx?acnumber=CGN10966</t>
  </si>
  <si>
    <t>CGN11338</t>
  </si>
  <si>
    <t>Viktoria</t>
  </si>
  <si>
    <t>Bremia differential S2 (Dm gene 2)</t>
  </si>
  <si>
    <t>http://cgngenis.wur.nl/AccessionDetails.aspx?acnumber=CGN11338</t>
  </si>
  <si>
    <t>CGN11340</t>
  </si>
  <si>
    <t>Passion Blonde a Graine Blanche</t>
  </si>
  <si>
    <t>Bremia differential S12 (Dm gene 14)</t>
  </si>
  <si>
    <t>http://cgngenis.wur.nl/AccessionDetails.aspx?acnumber=CGN11340</t>
  </si>
  <si>
    <t>CGN11355</t>
  </si>
  <si>
    <t>http://cgngenis.wur.nl/AccessionDetails.aspx?acnumber=CGN11355</t>
  </si>
  <si>
    <t>CGN11364</t>
  </si>
  <si>
    <t>http://cgngenis.wur.nl/AccessionDetails.aspx?acnumber=CGN11364</t>
  </si>
  <si>
    <t>CGN11379</t>
  </si>
  <si>
    <t>Resistant to LMV/LS1</t>
  </si>
  <si>
    <t>http://cgngenis.wur.nl/AccessionDetails.aspx?acnumber=CGN11379</t>
  </si>
  <si>
    <t>CGN11403</t>
  </si>
  <si>
    <t>Bremia differential S4 (Dm gene 4)</t>
  </si>
  <si>
    <t>http://cgngenis.wur.nl/AccessionDetails.aspx?acnumber=CGN11403</t>
  </si>
  <si>
    <t>CGN11424</t>
  </si>
  <si>
    <t>CZE</t>
  </si>
  <si>
    <t>Krajovy od Olomouce</t>
  </si>
  <si>
    <t>Gotte</t>
  </si>
  <si>
    <t>http://cgngenis.wur.nl/AccessionDetails.aspx?acnumber=CGN11424</t>
  </si>
  <si>
    <t>CGN11432</t>
  </si>
  <si>
    <t>Grosse Blonde d'Hiver Bourguignonne</t>
  </si>
  <si>
    <t>Line with a different Bremia resistance (see CGN11433)</t>
  </si>
  <si>
    <t>http://cgngenis.wur.nl/AccessionDetails.aspx?acnumber=CGN11432</t>
  </si>
  <si>
    <t>CGN13314</t>
  </si>
  <si>
    <t>http://cgngenis.wur.nl/AccessionDetails.aspx?acnumber=CGN13314</t>
  </si>
  <si>
    <t>CGN14626</t>
  </si>
  <si>
    <t>http://cgngenis.wur.nl/AccessionDetails.aspx?acnumber=CGN14626</t>
  </si>
  <si>
    <t>CGN14635</t>
  </si>
  <si>
    <t>NUN3664</t>
  </si>
  <si>
    <t>http://cgngenis.wur.nl/AccessionDetails.aspx?acnumber=CGN14635</t>
  </si>
  <si>
    <t>CGN14640</t>
  </si>
  <si>
    <t>Sans Rivale a Graine Blanche</t>
  </si>
  <si>
    <t>http://cgngenis.wur.nl/AccessionDetails.aspx?acnumber=CGN14640</t>
  </si>
  <si>
    <t>CGN14681</t>
  </si>
  <si>
    <t>http://cgngenis.wur.nl/AccessionDetails.aspx?acnumber=CGN14681</t>
  </si>
  <si>
    <t>CGN16217</t>
  </si>
  <si>
    <t>F 434-3</t>
  </si>
  <si>
    <t>http://cgngenis.wur.nl/AccessionDetails.aspx?acnumber=CGN16217</t>
  </si>
  <si>
    <t>CGN16256</t>
  </si>
  <si>
    <t>Florida</t>
  </si>
  <si>
    <t>http://cgngenis.wur.nl/AccessionDetails.aspx?acnumber=CGN16256</t>
  </si>
  <si>
    <t>CGN16264</t>
  </si>
  <si>
    <t>Landrace</t>
  </si>
  <si>
    <t>HRV</t>
  </si>
  <si>
    <t>http://cgngenis.wur.nl/AccessionDetails.aspx?acnumber=CGN16264</t>
  </si>
  <si>
    <t>CGN19067</t>
  </si>
  <si>
    <t>http://cgngenis.wur.nl/AccessionDetails.aspx?acnumber=CGN19067</t>
  </si>
  <si>
    <t>CGN20139</t>
  </si>
  <si>
    <t>S 3681</t>
  </si>
  <si>
    <t>http://cgngenis.wur.nl/AccessionDetails.aspx?acnumber=CGN20139</t>
  </si>
  <si>
    <t>CGN20716</t>
  </si>
  <si>
    <t>S 3114</t>
  </si>
  <si>
    <t>Bremia differential S17 (Dm gene 36)</t>
  </si>
  <si>
    <t>http://cgngenis.wur.nl/AccessionDetails.aspx?acnumber=CGN20716</t>
  </si>
  <si>
    <t>CGN24530</t>
  </si>
  <si>
    <t>RZ42-53</t>
  </si>
  <si>
    <t>Karlo</t>
  </si>
  <si>
    <t>Bremia differential S18 (Dm gene 37)</t>
  </si>
  <si>
    <t>http://cgngenis.wur.nl/AccessionDetails.aspx?acnumber=CGN24530</t>
  </si>
  <si>
    <t>CGN24542</t>
  </si>
  <si>
    <t>RZ43-80</t>
  </si>
  <si>
    <t>Milan</t>
  </si>
  <si>
    <t>http://cgngenis.wur.nl/AccessionDetails.aspx?acnumber=CGN24542</t>
  </si>
  <si>
    <t>CGN24683</t>
  </si>
  <si>
    <t>Nun 3014 LT</t>
  </si>
  <si>
    <t>Bremia resistance</t>
  </si>
  <si>
    <t>http://cgngenis.wur.nl/AccessionDetails.aspx?acnumber=CGN24683</t>
  </si>
  <si>
    <t>CGN04495</t>
  </si>
  <si>
    <t>Crisp</t>
  </si>
  <si>
    <t>http://cgngenis.wur.nl/AccessionDetails.aspx?acnumber=CGN04495</t>
  </si>
  <si>
    <t>CGN04508</t>
  </si>
  <si>
    <t>Batavia Chou de Naples</t>
  </si>
  <si>
    <t>Aphid resistant</t>
  </si>
  <si>
    <t>http://cgngenis.wur.nl/AccessionDetails.aspx?acnumber=CGN04508</t>
  </si>
  <si>
    <t>CGN04542</t>
  </si>
  <si>
    <t>Calmar</t>
  </si>
  <si>
    <t>http://cgngenis.wur.nl/AccessionDetails.aspx?acnumber=CGN04542</t>
  </si>
  <si>
    <t>CGN04581</t>
  </si>
  <si>
    <t>Reine des Glaces a Graine Noire</t>
  </si>
  <si>
    <t>Batavia de Beauregard</t>
  </si>
  <si>
    <t>http://cgngenis.wur.nl/AccessionDetails.aspx?acnumber=CGN04581</t>
  </si>
  <si>
    <t>CGN04647</t>
  </si>
  <si>
    <t>AUT</t>
  </si>
  <si>
    <t>Batavia Blonde a Bord Rouge</t>
  </si>
  <si>
    <t>http://cgngenis.wur.nl/AccessionDetails.aspx?acnumber=CGN04647</t>
  </si>
  <si>
    <t>CGN04709</t>
  </si>
  <si>
    <t>Ithaca</t>
  </si>
  <si>
    <t>http://cgngenis.wur.nl/AccessionDetails.aspx?acnumber=CGN04709</t>
  </si>
  <si>
    <t>CGN04868</t>
  </si>
  <si>
    <t>http://cgngenis.wur.nl/AccessionDetails.aspx?acnumber=CGN04868</t>
  </si>
  <si>
    <t>CGN04986</t>
  </si>
  <si>
    <t>http://cgngenis.wur.nl/AccessionDetails.aspx?acnumber=CGN04986</t>
  </si>
  <si>
    <t>CGN05169</t>
  </si>
  <si>
    <t>ARG</t>
  </si>
  <si>
    <t>Batavia Doree de Printemps</t>
  </si>
  <si>
    <t>http://cgngenis.wur.nl/AccessionDetails.aspx?acnumber=CGN05169</t>
  </si>
  <si>
    <t>CGN05170</t>
  </si>
  <si>
    <t>Batavian la Brillante; Montree la Brillante</t>
  </si>
  <si>
    <t>Partially resistant to Big-vein virus</t>
  </si>
  <si>
    <t>http://cgngenis.wur.nl/AccessionDetails.aspx?acnumber=CGN05170</t>
  </si>
  <si>
    <t>CGN05182</t>
  </si>
  <si>
    <t>http://cgngenis.wur.nl/AccessionDetails.aspx?acnumber=CGN05182</t>
  </si>
  <si>
    <t>CGN05253</t>
  </si>
  <si>
    <t>http://cgngenis.wur.nl/AccessionDetails.aspx?acnumber=CGN05253</t>
  </si>
  <si>
    <t>CGN05862</t>
  </si>
  <si>
    <t>http://cgngenis.wur.nl/AccessionDetails.aspx?acnumber=CGN05862</t>
  </si>
  <si>
    <t>CGN09381</t>
  </si>
  <si>
    <t>Flowers fringing</t>
  </si>
  <si>
    <t>http://cgngenis.wur.nl/AccessionDetails.aspx?acnumber=CGN09381</t>
  </si>
  <si>
    <t>CGN10976</t>
  </si>
  <si>
    <t>CHN</t>
  </si>
  <si>
    <t>TAPRCA VII-10-104 Crisp</t>
  </si>
  <si>
    <t>Batavia Blonde de Paris</t>
  </si>
  <si>
    <t>http://cgngenis.wur.nl/AccessionDetails.aspx?acnumber=CGN10976</t>
  </si>
  <si>
    <t>CGN11440</t>
  </si>
  <si>
    <t>Bremia differential S11 (Dm gene 13)</t>
  </si>
  <si>
    <t>http://cgngenis.wur.nl/AccessionDetails.aspx?acnumber=CGN11440</t>
  </si>
  <si>
    <t>CGN14647</t>
  </si>
  <si>
    <t>http://cgngenis.wur.nl/AccessionDetails.aspx?acnumber=CGN14647</t>
  </si>
  <si>
    <t>CGN14702</t>
  </si>
  <si>
    <t>RZ2915</t>
  </si>
  <si>
    <t>http://cgngenis.wur.nl/AccessionDetails.aspx?acnumber=CGN14702</t>
  </si>
  <si>
    <t>CGN16262</t>
  </si>
  <si>
    <t>SVN</t>
  </si>
  <si>
    <t>http://cgngenis.wur.nl/AccessionDetails.aspx?acnumber=CGN16262</t>
  </si>
  <si>
    <t>CGN18663</t>
  </si>
  <si>
    <t>http://cgngenis.wur.nl/AccessionDetails.aspx?acnumber=CGN18663</t>
  </si>
  <si>
    <t>CGN24676</t>
  </si>
  <si>
    <t>1718</t>
  </si>
  <si>
    <t>Bremia differential S19 (Dm gene 38)</t>
  </si>
  <si>
    <t>http://cgngenis.wur.nl/AccessionDetails.aspx?acnumber=CGN24676</t>
  </si>
  <si>
    <t>CGN24689</t>
  </si>
  <si>
    <t>BVA 332</t>
  </si>
  <si>
    <t>Batavia</t>
  </si>
  <si>
    <t>http://cgngenis.wur.nl/AccessionDetails.aspx?acnumber=CGN24689</t>
  </si>
  <si>
    <t>CGN25047</t>
  </si>
  <si>
    <t>AS 8155</t>
  </si>
  <si>
    <t>http://cgngenis.wur.nl/AccessionDetails.aspx?acnumber=CGN25047</t>
  </si>
  <si>
    <t>CGN25055</t>
  </si>
  <si>
    <t>E 14.6581</t>
  </si>
  <si>
    <t>Saladin</t>
  </si>
  <si>
    <t>http://cgngenis.wur.nl/AccessionDetails.aspx?acnumber=CGN25055</t>
  </si>
  <si>
    <t>UC Davis</t>
  </si>
  <si>
    <t>CGN06018</t>
  </si>
  <si>
    <t>Latin</t>
  </si>
  <si>
    <t>http://cgngenis.wur.nl/AccessionDetails.aspx?acnumber=CGN06018</t>
  </si>
  <si>
    <t>CGN09377</t>
  </si>
  <si>
    <t>http://cgngenis.wur.nl/AccessionDetails.aspx?acnumber=CGN09377</t>
  </si>
  <si>
    <t>CGN11339</t>
  </si>
  <si>
    <t>Tetue de Nimes</t>
  </si>
  <si>
    <t>Bremia differential S8 (Dm gene 10)</t>
  </si>
  <si>
    <t>http://cgngenis.wur.nl/AccessionDetails.aspx?acnumber=CGN11339</t>
  </si>
  <si>
    <t>CGN13385</t>
  </si>
  <si>
    <t>SYR</t>
  </si>
  <si>
    <t>Creole</t>
  </si>
  <si>
    <t>http://cgngenis.wur.nl/AccessionDetails.aspx?acnumber=CGN13385</t>
  </si>
  <si>
    <t>CGN24517</t>
  </si>
  <si>
    <t>E 16.6025</t>
  </si>
  <si>
    <t>Sucrine</t>
  </si>
  <si>
    <t>http://cgngenis.wur.nl/AccessionDetails.aspx?acnumber=CGN24517</t>
  </si>
  <si>
    <t>CGN04552</t>
  </si>
  <si>
    <t>Cos</t>
  </si>
  <si>
    <t>http://cgngenis.wur.nl/AccessionDetails.aspx?acnumber=CGN04552</t>
  </si>
  <si>
    <t>CGN04740</t>
  </si>
  <si>
    <t>TUR</t>
  </si>
  <si>
    <t>http://cgngenis.wur.nl/AccessionDetails.aspx?acnumber=CGN04740</t>
  </si>
  <si>
    <t>CGN04746</t>
  </si>
  <si>
    <t>Romaine Verte Maraichere</t>
  </si>
  <si>
    <t>http://cgngenis.wur.nl/AccessionDetails.aspx?acnumber=CGN04746</t>
  </si>
  <si>
    <t>CGN04766</t>
  </si>
  <si>
    <t>IRN</t>
  </si>
  <si>
    <t>http://cgngenis.wur.nl/AccessionDetails.aspx?acnumber=CGN04766</t>
  </si>
  <si>
    <t>CGN04832</t>
  </si>
  <si>
    <t>Romaine de Bougival</t>
  </si>
  <si>
    <t>Romaine Ballon de Bougival</t>
  </si>
  <si>
    <t>http://cgngenis.wur.nl/AccessionDetails.aspx?acnumber=CGN04832</t>
  </si>
  <si>
    <t>CGN04840</t>
  </si>
  <si>
    <t>Romaine Royale Verte d'Hiver</t>
  </si>
  <si>
    <t>http://cgngenis.wur.nl/AccessionDetails.aspx?acnumber=CGN04840</t>
  </si>
  <si>
    <t>CGN05004</t>
  </si>
  <si>
    <t>http://cgngenis.wur.nl/AccessionDetails.aspx?acnumber=CGN05004</t>
  </si>
  <si>
    <t>CGN05057</t>
  </si>
  <si>
    <t>BGR</t>
  </si>
  <si>
    <t>Romaine Blonde Maraichere</t>
  </si>
  <si>
    <t>http://cgngenis.wur.nl/AccessionDetails.aspx?acnumber=CGN05057</t>
  </si>
  <si>
    <t>CGN05238</t>
  </si>
  <si>
    <t>http://cgngenis.wur.nl/AccessionDetails.aspx?acnumber=CGN05238</t>
  </si>
  <si>
    <t>CGN05249</t>
  </si>
  <si>
    <t>Cos Parris Island</t>
  </si>
  <si>
    <t>Bremia differential S5 (Dm gene 5/8)</t>
  </si>
  <si>
    <t>http://cgngenis.wur.nl/AccessionDetails.aspx?acnumber=CGN05249</t>
  </si>
  <si>
    <t>CGN05827</t>
  </si>
  <si>
    <t>ESP</t>
  </si>
  <si>
    <t>Romana Verde</t>
  </si>
  <si>
    <t>http://cgngenis.wur.nl/AccessionDetails.aspx?acnumber=CGN05827</t>
  </si>
  <si>
    <t>CGN06003</t>
  </si>
  <si>
    <t>EGY</t>
  </si>
  <si>
    <t>http://cgngenis.wur.nl/AccessionDetails.aspx?acnumber=CGN06003</t>
  </si>
  <si>
    <t>CGN09375</t>
  </si>
  <si>
    <t>Grazer Forellenschluss</t>
  </si>
  <si>
    <t>http://cgngenis.wur.nl/AccessionDetails.aspx?acnumber=CGN09375</t>
  </si>
  <si>
    <t>CGN09376</t>
  </si>
  <si>
    <t>http://cgngenis.wur.nl/AccessionDetails.aspx?acnumber=CGN09376</t>
  </si>
  <si>
    <t>CGN14598</t>
  </si>
  <si>
    <t>Romaine Grise Maraichere</t>
  </si>
  <si>
    <t>http://cgngenis.wur.nl/AccessionDetails.aspx?acnumber=CGN14598</t>
  </si>
  <si>
    <t>CGN14656</t>
  </si>
  <si>
    <t>L1812</t>
  </si>
  <si>
    <t>http://cgngenis.wur.nl/AccessionDetails.aspx?acnumber=CGN14656</t>
  </si>
  <si>
    <t>CGN16252</t>
  </si>
  <si>
    <t>Floricos</t>
  </si>
  <si>
    <t>http://cgngenis.wur.nl/AccessionDetails.aspx?acnumber=CGN16252</t>
  </si>
  <si>
    <t>CGN18720</t>
  </si>
  <si>
    <t>http://cgngenis.wur.nl/AccessionDetails.aspx?acnumber=CGN18720</t>
  </si>
  <si>
    <t>CGN24515</t>
  </si>
  <si>
    <t>E 16.1916</t>
  </si>
  <si>
    <t>http://cgngenis.wur.nl/AccessionDetails.aspx?acnumber=CGN24515</t>
  </si>
  <si>
    <t>CGN24776</t>
  </si>
  <si>
    <t>Bremia differential S0 (Dm gene 0)</t>
  </si>
  <si>
    <t>http://cgngenis.wur.nl/AccessionDetails.aspx?acnumber=CGN24776</t>
  </si>
  <si>
    <t>CGN04642</t>
  </si>
  <si>
    <t>Cutting</t>
  </si>
  <si>
    <t>A Couper a Feuille de Chene Verte a Graine Blanche</t>
  </si>
  <si>
    <t>http://cgngenis.wur.nl/AccessionDetails.aspx?acnumber=CGN04642</t>
  </si>
  <si>
    <t>CGN04797</t>
  </si>
  <si>
    <t>Kivircik</t>
  </si>
  <si>
    <t>http://cgngenis.wur.nl/AccessionDetails.aspx?acnumber=CGN04797</t>
  </si>
  <si>
    <t>CGN05063</t>
  </si>
  <si>
    <t>UKR</t>
  </si>
  <si>
    <t>VIR-1204</t>
  </si>
  <si>
    <t>http://cgngenis.wur.nl/AccessionDetails.aspx?acnumber=CGN05063</t>
  </si>
  <si>
    <t>CGN05241</t>
  </si>
  <si>
    <t>http://cgngenis.wur.nl/AccessionDetails.aspx?acnumber=CGN05241</t>
  </si>
  <si>
    <t>CGN05852</t>
  </si>
  <si>
    <t>American Gathering</t>
  </si>
  <si>
    <t>http://cgngenis.wur.nl/AccessionDetails.aspx?acnumber=CGN05852</t>
  </si>
  <si>
    <t>CGN10956</t>
  </si>
  <si>
    <t>http://cgngenis.wur.nl/AccessionDetails.aspx?acnumber=CGN10956</t>
  </si>
  <si>
    <t>CGN11384</t>
  </si>
  <si>
    <t>http://cgngenis.wur.nl/AccessionDetails.aspx?acnumber=CGN11384</t>
  </si>
  <si>
    <t>CGN11444</t>
  </si>
  <si>
    <t>http://cgngenis.wur.nl/AccessionDetails.aspx?acnumber=CGN11444</t>
  </si>
  <si>
    <t>CGN11445</t>
  </si>
  <si>
    <t>CAN</t>
  </si>
  <si>
    <t>http://cgngenis.wur.nl/AccessionDetails.aspx?acnumber=CGN11445</t>
  </si>
  <si>
    <t>CGN13298</t>
  </si>
  <si>
    <t>http://cgngenis.wur.nl/AccessionDetails.aspx?acnumber=CGN13298</t>
  </si>
  <si>
    <t>CGN13363</t>
  </si>
  <si>
    <t>http://cgngenis.wur.nl/AccessionDetails.aspx?acnumber=CGN13363</t>
  </si>
  <si>
    <t>CGN13367</t>
  </si>
  <si>
    <t>http://cgngenis.wur.nl/AccessionDetails.aspx?acnumber=CGN13367</t>
  </si>
  <si>
    <t>CGN14606</t>
  </si>
  <si>
    <t>LM 277</t>
  </si>
  <si>
    <t>Indoor/outdoor</t>
  </si>
  <si>
    <t>http://cgngenis.wur.nl/AccessionDetails.aspx?acnumber=CGN14606</t>
  </si>
  <si>
    <t>CGN17410</t>
  </si>
  <si>
    <t>PRT</t>
  </si>
  <si>
    <t>http://cgngenis.wur.nl/AccessionDetails.aspx?acnumber=CGN17410</t>
  </si>
  <si>
    <t>CGN19069</t>
  </si>
  <si>
    <t>Lollo Rossa</t>
  </si>
  <si>
    <t>http://cgngenis.wur.nl/AccessionDetails.aspx?acnumber=CGN19069</t>
  </si>
  <si>
    <t>CGN24778</t>
  </si>
  <si>
    <t>41-33 RZ</t>
  </si>
  <si>
    <t>Bremia differential S16 (Dm gene 18)</t>
  </si>
  <si>
    <t>http://cgngenis.wur.nl/AccessionDetails.aspx?acnumber=CGN24778</t>
  </si>
  <si>
    <t>CGN05061</t>
  </si>
  <si>
    <t>VIR 1226</t>
  </si>
  <si>
    <t>Stalk</t>
  </si>
  <si>
    <t>http://cgngenis.wur.nl/AccessionDetails.aspx?acnumber=CGN05061</t>
  </si>
  <si>
    <t>CGN05292</t>
  </si>
  <si>
    <t>TWN</t>
  </si>
  <si>
    <t>http://cgngenis.wur.nl/AccessionDetails.aspx?acnumber=CGN05292</t>
  </si>
  <si>
    <t>CGN10931</t>
  </si>
  <si>
    <t>http://cgngenis.wur.nl/AccessionDetails.aspx?acnumber=CGN10931</t>
  </si>
  <si>
    <t>CGN04777</t>
  </si>
  <si>
    <t>Oilseed</t>
  </si>
  <si>
    <t>Resistant to Sclerotinia</t>
  </si>
  <si>
    <t>http://cgngenis.wur.nl/AccessionDetails.aspx?acnumber=CGN04777</t>
  </si>
  <si>
    <t>CGN04770</t>
  </si>
  <si>
    <t>L. serriola</t>
  </si>
  <si>
    <t>http://cgngenis.wur.nl/AccessionDetails.aspx?acnumber=CGN04770</t>
  </si>
  <si>
    <t>Emb</t>
  </si>
  <si>
    <t>CGN04775</t>
  </si>
  <si>
    <t>Mo gene, determining resistance to LMV pathotypes 1, 2 and 3</t>
  </si>
  <si>
    <t>http://cgngenis.wur.nl/AccessionDetails.aspx?acnumber=CGN04775</t>
  </si>
  <si>
    <t>CGN04799</t>
  </si>
  <si>
    <t>Wild</t>
  </si>
  <si>
    <t>IRQ</t>
  </si>
  <si>
    <t>http://cgngenis.wur.nl/AccessionDetails.aspx?acnumber=CGN04799</t>
  </si>
  <si>
    <t>CGN04800</t>
  </si>
  <si>
    <t>http://cgngenis.wur.nl/AccessionDetails.aspx?acnumber=CGN04800</t>
  </si>
  <si>
    <t>CGN04947</t>
  </si>
  <si>
    <t>http://cgngenis.wur.nl/AccessionDetails.aspx?acnumber=CGN04947</t>
  </si>
  <si>
    <t>CGN04971</t>
  </si>
  <si>
    <t>http://cgngenis.wur.nl/AccessionDetails.aspx?acnumber=CGN04971</t>
  </si>
  <si>
    <t>CGN05009</t>
  </si>
  <si>
    <t>http://cgngenis.wur.nl/AccessionDetails.aspx?acnumber=CGN05009</t>
  </si>
  <si>
    <t>CGN05016</t>
  </si>
  <si>
    <t>http://cgngenis.wur.nl/AccessionDetails.aspx?acnumber=CGN05016</t>
  </si>
  <si>
    <t>CGN05075</t>
  </si>
  <si>
    <t>ROU</t>
  </si>
  <si>
    <t>http://cgngenis.wur.nl/AccessionDetails.aspx?acnumber=CGN05075</t>
  </si>
  <si>
    <t>CGN05083</t>
  </si>
  <si>
    <t>http://cgngenis.wur.nl/AccessionDetails.aspx?acnumber=CGN05083</t>
  </si>
  <si>
    <t>CGN05099</t>
  </si>
  <si>
    <t>ISR</t>
  </si>
  <si>
    <t>Bremia differential S13 (Dm gene 15)</t>
  </si>
  <si>
    <t>http://cgngenis.wur.nl/AccessionDetails.aspx?acnumber=CGN05099</t>
  </si>
  <si>
    <t>CGN05101</t>
  </si>
  <si>
    <t>http://cgngenis.wur.nl/AccessionDetails.aspx?acnumber=CGN05101</t>
  </si>
  <si>
    <t>CGN05112</t>
  </si>
  <si>
    <t>http://cgngenis.wur.nl/AccessionDetails.aspx?acnumber=CGN05112</t>
  </si>
  <si>
    <t>CGN05146</t>
  </si>
  <si>
    <t>http://cgngenis.wur.nl/AccessionDetails.aspx?acnumber=CGN05146</t>
  </si>
  <si>
    <t>CGN05149</t>
  </si>
  <si>
    <t>KEN</t>
  </si>
  <si>
    <t>http://cgngenis.wur.nl/AccessionDetails.aspx?acnumber=CGN05149</t>
  </si>
  <si>
    <t>CGN05150</t>
  </si>
  <si>
    <t>HUN</t>
  </si>
  <si>
    <t>http://cgngenis.wur.nl/AccessionDetails.aspx?acnumber=CGN05150</t>
  </si>
  <si>
    <t>CGN05152</t>
  </si>
  <si>
    <t>POL</t>
  </si>
  <si>
    <t>http://cgngenis.wur.nl/AccessionDetails.aspx?acnumber=CGN05152</t>
  </si>
  <si>
    <t>CGN05153</t>
  </si>
  <si>
    <t>http://cgngenis.wur.nl/AccessionDetails.aspx?acnumber=CGN05153</t>
  </si>
  <si>
    <t>CGN05154</t>
  </si>
  <si>
    <t>http://cgngenis.wur.nl/AccessionDetails.aspx?acnumber=CGN05154</t>
  </si>
  <si>
    <t>CGN05155</t>
  </si>
  <si>
    <t>http://cgngenis.wur.nl/AccessionDetails.aspx?acnumber=CGN05155</t>
  </si>
  <si>
    <t>CGN05158</t>
  </si>
  <si>
    <t>NOR</t>
  </si>
  <si>
    <t>http://cgngenis.wur.nl/AccessionDetails.aspx?acnumber=CGN05158</t>
  </si>
  <si>
    <t>CGN05205</t>
  </si>
  <si>
    <t>http://cgngenis.wur.nl/AccessionDetails.aspx?acnumber=CGN05205</t>
  </si>
  <si>
    <t>CGN05312</t>
  </si>
  <si>
    <t>http://cgngenis.wur.nl/AccessionDetails.aspx?acnumber=CGN05312</t>
  </si>
  <si>
    <t>CGN05316</t>
  </si>
  <si>
    <t>http://cgngenis.wur.nl/AccessionDetails.aspx?acnumber=CGN05316</t>
  </si>
  <si>
    <t>CGN05804</t>
  </si>
  <si>
    <t>CHE</t>
  </si>
  <si>
    <t>http://cgngenis.wur.nl/AccessionDetails.aspx?acnumber=CGN05804</t>
  </si>
  <si>
    <t>CGN05846</t>
  </si>
  <si>
    <t>http://cgngenis.wur.nl/AccessionDetails.aspx?acnumber=CGN05846</t>
  </si>
  <si>
    <t>CGN05847</t>
  </si>
  <si>
    <t>http://cgngenis.wur.nl/AccessionDetails.aspx?acnumber=CGN05847</t>
  </si>
  <si>
    <t>CGN05860</t>
  </si>
  <si>
    <t>http://cgngenis.wur.nl/AccessionDetails.aspx?acnumber=CGN05860</t>
  </si>
  <si>
    <t>CGN05868</t>
  </si>
  <si>
    <t>http://cgngenis.wur.nl/AccessionDetails.aspx?acnumber=CGN05868</t>
  </si>
  <si>
    <t>CGN05881</t>
  </si>
  <si>
    <t>http://cgngenis.wur.nl/AccessionDetails.aspx?acnumber=CGN05881</t>
  </si>
  <si>
    <t>CGN05901</t>
  </si>
  <si>
    <t>http://cgngenis.wur.nl/AccessionDetails.aspx?acnumber=CGN05901</t>
  </si>
  <si>
    <t>CGN05916</t>
  </si>
  <si>
    <t>Bremia resistance Bl:17/20/21/22/23/26</t>
  </si>
  <si>
    <t>http://cgngenis.wur.nl/AccessionDetails.aspx?acnumber=CGN05916</t>
  </si>
  <si>
    <t>CGN05934</t>
  </si>
  <si>
    <t>http://cgngenis.wur.nl/AccessionDetails.aspx?acnumber=CGN05934</t>
  </si>
  <si>
    <t>CGN05939</t>
  </si>
  <si>
    <t>http://cgngenis.wur.nl/AccessionDetails.aspx?acnumber=CGN05939</t>
  </si>
  <si>
    <t>CGN05953</t>
  </si>
  <si>
    <t>http://cgngenis.wur.nl/AccessionDetails.aspx?acnumber=CGN05953</t>
  </si>
  <si>
    <t>CGN05988</t>
  </si>
  <si>
    <t>http://cgngenis.wur.nl/AccessionDetails.aspx?acnumber=CGN05988</t>
  </si>
  <si>
    <t>CGN05991</t>
  </si>
  <si>
    <t>http://cgngenis.wur.nl/AccessionDetails.aspx?acnumber=CGN05991</t>
  </si>
  <si>
    <t>CGN09283</t>
  </si>
  <si>
    <t>http://cgngenis.wur.nl/AccessionDetails.aspx?acnumber=CGN09283</t>
  </si>
  <si>
    <t>CGN09285</t>
  </si>
  <si>
    <t>http://cgngenis.wur.nl/AccessionDetails.aspx?acnumber=CGN09285</t>
  </si>
  <si>
    <t>CGN09291</t>
  </si>
  <si>
    <t>http://cgngenis.wur.nl/AccessionDetails.aspx?acnumber=CGN09291</t>
  </si>
  <si>
    <t>CGN09293</t>
  </si>
  <si>
    <t>http://cgngenis.wur.nl/AccessionDetails.aspx?acnumber=CGN09293</t>
  </si>
  <si>
    <t>CGN09300</t>
  </si>
  <si>
    <t>http://cgngenis.wur.nl/AccessionDetails.aspx?acnumber=CGN09300</t>
  </si>
  <si>
    <t>CGN09308</t>
  </si>
  <si>
    <t>http://cgngenis.wur.nl/AccessionDetails.aspx?acnumber=CGN09308</t>
  </si>
  <si>
    <t>CGN09309</t>
  </si>
  <si>
    <t>http://cgngenis.wur.nl/AccessionDetails.aspx?acnumber=CGN09309</t>
  </si>
  <si>
    <t>CGN09310</t>
  </si>
  <si>
    <t>http://cgngenis.wur.nl/AccessionDetails.aspx?acnumber=CGN09310</t>
  </si>
  <si>
    <t>CGN10877</t>
  </si>
  <si>
    <t>http://cgngenis.wur.nl/AccessionDetails.aspx?acnumber=CGN10877</t>
  </si>
  <si>
    <t>CGN10886</t>
  </si>
  <si>
    <t>http://cgngenis.wur.nl/AccessionDetails.aspx?acnumber=CGN10886</t>
  </si>
  <si>
    <t>CGN10887</t>
  </si>
  <si>
    <t>http://cgngenis.wur.nl/AccessionDetails.aspx?acnumber=CGN10887</t>
  </si>
  <si>
    <t>CGN10895</t>
  </si>
  <si>
    <t>http://cgngenis.wur.nl/AccessionDetails.aspx?acnumber=CGN10895</t>
  </si>
  <si>
    <t>CGN10896</t>
  </si>
  <si>
    <t>http://cgngenis.wur.nl/AccessionDetails.aspx?acnumber=CGN10896</t>
  </si>
  <si>
    <t>CGN10900</t>
  </si>
  <si>
    <t>http://cgngenis.wur.nl/AccessionDetails.aspx?acnumber=CGN10900</t>
  </si>
  <si>
    <t>CGN10902</t>
  </si>
  <si>
    <t>http://cgngenis.wur.nl/AccessionDetails.aspx?acnumber=CGN10902</t>
  </si>
  <si>
    <t>CGN10903</t>
  </si>
  <si>
    <t>http://cgngenis.wur.nl/AccessionDetails.aspx?acnumber=CGN10903</t>
  </si>
  <si>
    <t>CGN10907</t>
  </si>
  <si>
    <t>http://cgngenis.wur.nl/AccessionDetails.aspx?acnumber=CGN10907</t>
  </si>
  <si>
    <t>CGN10938</t>
  </si>
  <si>
    <t>http://cgngenis.wur.nl/AccessionDetails.aspx?acnumber=CGN10938</t>
  </si>
  <si>
    <t>CGN10939</t>
  </si>
  <si>
    <t>http://cgngenis.wur.nl/AccessionDetails.aspx?acnumber=CGN10939</t>
  </si>
  <si>
    <t>AFG</t>
  </si>
  <si>
    <t>CGN10979</t>
  </si>
  <si>
    <t>http://cgngenis.wur.nl/AccessionDetails.aspx?acnumber=CGN10979</t>
  </si>
  <si>
    <t>CGN11327</t>
  </si>
  <si>
    <t>http://cgngenis.wur.nl/AccessionDetails.aspx?acnumber=CGN11327</t>
  </si>
  <si>
    <t>CGN11328</t>
  </si>
  <si>
    <t>http://cgngenis.wur.nl/AccessionDetails.aspx?acnumber=CGN11328</t>
  </si>
  <si>
    <t>CGN11333</t>
  </si>
  <si>
    <t>http://cgngenis.wur.nl/AccessionDetails.aspx?acnumber=CGN11333</t>
  </si>
  <si>
    <t>CGN11334</t>
  </si>
  <si>
    <t>http://cgngenis.wur.nl/AccessionDetails.aspx?acnumber=CGN11334</t>
  </si>
  <si>
    <t>CGN11335</t>
  </si>
  <si>
    <t>GRC</t>
  </si>
  <si>
    <t>http://cgngenis.wur.nl/AccessionDetails.aspx?acnumber=CGN11335</t>
  </si>
  <si>
    <t>CGN11402</t>
  </si>
  <si>
    <t>Bremia differential S14 (Dm gene 16)</t>
  </si>
  <si>
    <t>http://cgngenis.wur.nl/AccessionDetails.aspx?acnumber=CGN11402</t>
  </si>
  <si>
    <t>CGN13324</t>
  </si>
  <si>
    <t>Resistant to corky root</t>
  </si>
  <si>
    <t>http://cgngenis.wur.nl/AccessionDetails.aspx?acnumber=CGN13324</t>
  </si>
  <si>
    <t>CGN13336</t>
  </si>
  <si>
    <t>http://cgngenis.wur.nl/AccessionDetails.aspx?acnumber=CGN13336</t>
  </si>
  <si>
    <t>CGN13340</t>
  </si>
  <si>
    <t>http://cgngenis.wur.nl/AccessionDetails.aspx?acnumber=CGN13340</t>
  </si>
  <si>
    <t>CGN13354</t>
  </si>
  <si>
    <t>http://cgngenis.wur.nl/AccessionDetails.aspx?acnumber=CGN13354</t>
  </si>
  <si>
    <t>CGN13358</t>
  </si>
  <si>
    <t>http://cgngenis.wur.nl/AccessionDetails.aspx?acnumber=CGN13358</t>
  </si>
  <si>
    <t>CGN13372</t>
  </si>
  <si>
    <t>http://cgngenis.wur.nl/AccessionDetails.aspx?acnumber=CGN13372</t>
  </si>
  <si>
    <t>CGN13373</t>
  </si>
  <si>
    <t>http://cgngenis.wur.nl/AccessionDetails.aspx?acnumber=CGN13373</t>
  </si>
  <si>
    <t>CGN13387</t>
  </si>
  <si>
    <t>http://cgngenis.wur.nl/AccessionDetails.aspx?acnumber=CGN13387</t>
  </si>
  <si>
    <t>CGN14233</t>
  </si>
  <si>
    <t>http://cgngenis.wur.nl/AccessionDetails.aspx?acnumber=CGN14233</t>
  </si>
  <si>
    <t>CGN14241</t>
  </si>
  <si>
    <t>http://cgngenis.wur.nl/AccessionDetails.aspx?acnumber=CGN14241</t>
  </si>
  <si>
    <t>CGN14245</t>
  </si>
  <si>
    <t>http://cgngenis.wur.nl/AccessionDetails.aspx?acnumber=CGN14245</t>
  </si>
  <si>
    <t>CGN14246</t>
  </si>
  <si>
    <t>http://cgngenis.wur.nl/AccessionDetails.aspx?acnumber=CGN14246</t>
  </si>
  <si>
    <t>CGN14250</t>
  </si>
  <si>
    <t>http://cgngenis.wur.nl/AccessionDetails.aspx?acnumber=CGN14250</t>
  </si>
  <si>
    <t>CGN14251</t>
  </si>
  <si>
    <t>http://cgngenis.wur.nl/AccessionDetails.aspx?acnumber=CGN14251</t>
  </si>
  <si>
    <t>CGN14255</t>
  </si>
  <si>
    <t>http://cgngenis.wur.nl/AccessionDetails.aspx?acnumber=CGN14255</t>
  </si>
  <si>
    <t>CGN14256</t>
  </si>
  <si>
    <t>http://cgngenis.wur.nl/AccessionDetails.aspx?acnumber=CGN14256</t>
  </si>
  <si>
    <t>CGN14260</t>
  </si>
  <si>
    <t>http://cgngenis.wur.nl/AccessionDetails.aspx?acnumber=CGN14260</t>
  </si>
  <si>
    <t>CGN14263</t>
  </si>
  <si>
    <t>http://cgngenis.wur.nl/AccessionDetails.aspx?acnumber=CGN14263</t>
  </si>
  <si>
    <t>CGN14270</t>
  </si>
  <si>
    <t>http://cgngenis.wur.nl/AccessionDetails.aspx?acnumber=CGN14270</t>
  </si>
  <si>
    <t>CGN14272</t>
  </si>
  <si>
    <t>http://cgngenis.wur.nl/AccessionDetails.aspx?acnumber=CGN14272</t>
  </si>
  <si>
    <t>CGN14275</t>
  </si>
  <si>
    <t>http://cgngenis.wur.nl/AccessionDetails.aspx?acnumber=CGN14275</t>
  </si>
  <si>
    <t>CGN14279</t>
  </si>
  <si>
    <t>http://cgngenis.wur.nl/AccessionDetails.aspx?acnumber=CGN14279</t>
  </si>
  <si>
    <t>CGN14280</t>
  </si>
  <si>
    <t>http://cgngenis.wur.nl/AccessionDetails.aspx?acnumber=CGN14280</t>
  </si>
  <si>
    <t>CGN14296</t>
  </si>
  <si>
    <t>http://cgngenis.wur.nl/AccessionDetails.aspx?acnumber=CGN14296</t>
  </si>
  <si>
    <t>CGN14311</t>
  </si>
  <si>
    <t>MLT</t>
  </si>
  <si>
    <t>http://cgngenis.wur.nl/AccessionDetails.aspx?acnumber=CGN14311</t>
  </si>
  <si>
    <t>CGN14313</t>
  </si>
  <si>
    <t>ARM</t>
  </si>
  <si>
    <t>http://cgngenis.wur.nl/AccessionDetails.aspx?acnumber=CGN14313</t>
  </si>
  <si>
    <t>CGN15672</t>
  </si>
  <si>
    <t>http://cgngenis.wur.nl/AccessionDetails.aspx?acnumber=CGN15672</t>
  </si>
  <si>
    <t>CGN15673</t>
  </si>
  <si>
    <t>http://cgngenis.wur.nl/AccessionDetails.aspx?acnumber=CGN15673</t>
  </si>
  <si>
    <t>CGN15675</t>
  </si>
  <si>
    <t>http://cgngenis.wur.nl/AccessionDetails.aspx?acnumber=CGN15675</t>
  </si>
  <si>
    <t>CGN15678</t>
  </si>
  <si>
    <t>RUS</t>
  </si>
  <si>
    <t>http://cgngenis.wur.nl/AccessionDetails.aspx?acnumber=CGN15678</t>
  </si>
  <si>
    <t>CGN15685</t>
  </si>
  <si>
    <t>http://cgngenis.wur.nl/AccessionDetails.aspx?acnumber=CGN15685</t>
  </si>
  <si>
    <t>CGN15687</t>
  </si>
  <si>
    <t>http://cgngenis.wur.nl/AccessionDetails.aspx?acnumber=CGN15687</t>
  </si>
  <si>
    <t>CGN15688</t>
  </si>
  <si>
    <t>http://cgngenis.wur.nl/AccessionDetails.aspx?acnumber=CGN15688</t>
  </si>
  <si>
    <t>CGN15689</t>
  </si>
  <si>
    <t>http://cgngenis.wur.nl/AccessionDetails.aspx?acnumber=CGN15689</t>
  </si>
  <si>
    <t>CGN15691</t>
  </si>
  <si>
    <t>http://cgngenis.wur.nl/AccessionDetails.aspx?acnumber=CGN15691</t>
  </si>
  <si>
    <t>CGN15694</t>
  </si>
  <si>
    <t>http://cgngenis.wur.nl/AccessionDetails.aspx?acnumber=CGN15694</t>
  </si>
  <si>
    <t>CGN15696</t>
  </si>
  <si>
    <t>http://cgngenis.wur.nl/AccessionDetails.aspx?acnumber=CGN15696</t>
  </si>
  <si>
    <t>CGN15700</t>
  </si>
  <si>
    <t>http://cgngenis.wur.nl/AccessionDetails.aspx?acnumber=CGN15700</t>
  </si>
  <si>
    <t>CGN15702</t>
  </si>
  <si>
    <t>http://cgngenis.wur.nl/AccessionDetails.aspx?acnumber=CGN15702</t>
  </si>
  <si>
    <t>CGN15706</t>
  </si>
  <si>
    <t>GEO</t>
  </si>
  <si>
    <t>http://cgngenis.wur.nl/AccessionDetails.aspx?acnumber=CGN15706</t>
  </si>
  <si>
    <t>CGN15709</t>
  </si>
  <si>
    <t>http://cgngenis.wur.nl/AccessionDetails.aspx?acnumber=CGN15709</t>
  </si>
  <si>
    <t>CGN15712</t>
  </si>
  <si>
    <t>http://cgngenis.wur.nl/AccessionDetails.aspx?acnumber=CGN15712</t>
  </si>
  <si>
    <t>CGN15722</t>
  </si>
  <si>
    <t>http://cgngenis.wur.nl/AccessionDetails.aspx?acnumber=CGN15722</t>
  </si>
  <si>
    <t>CGN15724</t>
  </si>
  <si>
    <t>http://cgngenis.wur.nl/AccessionDetails.aspx?acnumber=CGN15724</t>
  </si>
  <si>
    <t>CGN15728</t>
  </si>
  <si>
    <t>AZE</t>
  </si>
  <si>
    <t>http://cgngenis.wur.nl/AccessionDetails.aspx?acnumber=CGN15728</t>
  </si>
  <si>
    <t>CGN15729</t>
  </si>
  <si>
    <t>http://cgngenis.wur.nl/AccessionDetails.aspx?acnumber=CGN15729</t>
  </si>
  <si>
    <t>CGN15730</t>
  </si>
  <si>
    <t>http://cgngenis.wur.nl/AccessionDetails.aspx?acnumber=CGN15730</t>
  </si>
  <si>
    <t>CGN15731</t>
  </si>
  <si>
    <t>http://cgngenis.wur.nl/AccessionDetails.aspx?acnumber=CGN15731</t>
  </si>
  <si>
    <t>CGN15734</t>
  </si>
  <si>
    <t>http://cgngenis.wur.nl/AccessionDetails.aspx?acnumber=CGN15734</t>
  </si>
  <si>
    <t>CGN15735</t>
  </si>
  <si>
    <t>http://cgngenis.wur.nl/AccessionDetails.aspx?acnumber=CGN15735</t>
  </si>
  <si>
    <t>CGN15736</t>
  </si>
  <si>
    <t>http://cgngenis.wur.nl/AccessionDetails.aspx?acnumber=CGN15736</t>
  </si>
  <si>
    <t>CGN15737</t>
  </si>
  <si>
    <t>http://cgngenis.wur.nl/AccessionDetails.aspx?acnumber=CGN15737</t>
  </si>
  <si>
    <t>CGN16184</t>
  </si>
  <si>
    <t>http://cgngenis.wur.nl/AccessionDetails.aspx?acnumber=CGN16184</t>
  </si>
  <si>
    <t>CGN16193</t>
  </si>
  <si>
    <t>http://cgngenis.wur.nl/AccessionDetails.aspx?acnumber=CGN16193</t>
  </si>
  <si>
    <t>CGN16210</t>
  </si>
  <si>
    <t>http://cgngenis.wur.nl/AccessionDetails.aspx?acnumber=CGN16210</t>
  </si>
  <si>
    <t>CGN16279</t>
  </si>
  <si>
    <t>http://cgngenis.wur.nl/AccessionDetails.aspx?acnumber=CGN16279</t>
  </si>
  <si>
    <t>CGN16286</t>
  </si>
  <si>
    <t>http://cgngenis.wur.nl/AccessionDetails.aspx?acnumber=CGN16286</t>
  </si>
  <si>
    <t>CGN16287</t>
  </si>
  <si>
    <t>http://cgngenis.wur.nl/AccessionDetails.aspx?acnumber=CGN16287</t>
  </si>
  <si>
    <t>CGN16289</t>
  </si>
  <si>
    <t>http://cgngenis.wur.nl/AccessionDetails.aspx?acnumber=CGN16289</t>
  </si>
  <si>
    <t>CGN17387</t>
  </si>
  <si>
    <t>http://cgngenis.wur.nl/AccessionDetails.aspx?acnumber=CGN17387</t>
  </si>
  <si>
    <t>CGN17389</t>
  </si>
  <si>
    <t>http://cgngenis.wur.nl/AccessionDetails.aspx?acnumber=CGN17389</t>
  </si>
  <si>
    <t>CGN17427</t>
  </si>
  <si>
    <t>http://cgngenis.wur.nl/AccessionDetails.aspx?acnumber=CGN17427</t>
  </si>
  <si>
    <t>CGN17428</t>
  </si>
  <si>
    <t>http://cgngenis.wur.nl/AccessionDetails.aspx?acnumber=CGN17428</t>
  </si>
  <si>
    <t>CGN17430</t>
  </si>
  <si>
    <t>http://cgngenis.wur.nl/AccessionDetails.aspx?acnumber=CGN17430</t>
  </si>
  <si>
    <t>CGN17440</t>
  </si>
  <si>
    <t>http://cgngenis.wur.nl/AccessionDetails.aspx?acnumber=CGN17440</t>
  </si>
  <si>
    <t>CGN17442</t>
  </si>
  <si>
    <t>http://cgngenis.wur.nl/AccessionDetails.aspx?acnumber=CGN17442</t>
  </si>
  <si>
    <t>CGN17446</t>
  </si>
  <si>
    <t>http://cgngenis.wur.nl/AccessionDetails.aspx?acnumber=CGN17446</t>
  </si>
  <si>
    <t>CGN18630</t>
  </si>
  <si>
    <t>http://cgngenis.wur.nl/AccessionDetails.aspx?acnumber=CGN18630</t>
  </si>
  <si>
    <t>CGN18652</t>
  </si>
  <si>
    <t>http://cgngenis.wur.nl/AccessionDetails.aspx?acnumber=CGN18652</t>
  </si>
  <si>
    <t>CGN18657</t>
  </si>
  <si>
    <t>http://cgngenis.wur.nl/AccessionDetails.aspx?acnumber=CGN18657</t>
  </si>
  <si>
    <t>CGN18666</t>
  </si>
  <si>
    <t>http://cgngenis.wur.nl/AccessionDetails.aspx?acnumber=CGN18666</t>
  </si>
  <si>
    <t>CGN18668</t>
  </si>
  <si>
    <t>http://cgngenis.wur.nl/AccessionDetails.aspx?acnumber=CGN18668</t>
  </si>
  <si>
    <t>CGN18670</t>
  </si>
  <si>
    <t>http://cgngenis.wur.nl/AccessionDetails.aspx?acnumber=CGN18670</t>
  </si>
  <si>
    <t>CGN18675</t>
  </si>
  <si>
    <t>http://cgngenis.wur.nl/AccessionDetails.aspx?acnumber=CGN18675</t>
  </si>
  <si>
    <t>CGN18676</t>
  </si>
  <si>
    <t>http://cgngenis.wur.nl/AccessionDetails.aspx?acnumber=CGN18676</t>
  </si>
  <si>
    <t>CGN18991</t>
  </si>
  <si>
    <t>http://cgngenis.wur.nl/AccessionDetails.aspx?acnumber=CGN18991</t>
  </si>
  <si>
    <t>CGN18993</t>
  </si>
  <si>
    <t>http://cgngenis.wur.nl/AccessionDetails.aspx?acnumber=CGN18993</t>
  </si>
  <si>
    <t>CGN18994</t>
  </si>
  <si>
    <t>http://cgngenis.wur.nl/AccessionDetails.aspx?acnumber=CGN18994</t>
  </si>
  <si>
    <t>CGN19035</t>
  </si>
  <si>
    <t>http://cgngenis.wur.nl/AccessionDetails.aspx?acnumber=CGN19035</t>
  </si>
  <si>
    <t>CGN19044</t>
  </si>
  <si>
    <t>http://cgngenis.wur.nl/AccessionDetails.aspx?acnumber=CGN19044</t>
  </si>
  <si>
    <t>CGN19052</t>
  </si>
  <si>
    <t>http://cgngenis.wur.nl/AccessionDetails.aspx?acnumber=CGN19052</t>
  </si>
  <si>
    <t>CGN19054</t>
  </si>
  <si>
    <t>http://cgngenis.wur.nl/AccessionDetails.aspx?acnumber=CGN19054</t>
  </si>
  <si>
    <t>CGN19058</t>
  </si>
  <si>
    <t>http://cgngenis.wur.nl/AccessionDetails.aspx?acnumber=CGN19058</t>
  </si>
  <si>
    <t>CGN20073</t>
  </si>
  <si>
    <t>http://cgngenis.wur.nl/AccessionDetails.aspx?acnumber=CGN20073</t>
  </si>
  <si>
    <t>CGN20090</t>
  </si>
  <si>
    <t>http://cgngenis.wur.nl/AccessionDetails.aspx?acnumber=CGN20090</t>
  </si>
  <si>
    <t>CGN20113</t>
  </si>
  <si>
    <t>http://cgngenis.wur.nl/AccessionDetails.aspx?acnumber=CGN20113</t>
  </si>
  <si>
    <t>CGN20116</t>
  </si>
  <si>
    <t>http://cgngenis.wur.nl/AccessionDetails.aspx?acnumber=CGN20116</t>
  </si>
  <si>
    <t>CGN20682</t>
  </si>
  <si>
    <t>http://cgngenis.wur.nl/AccessionDetails.aspx?acnumber=CGN20682</t>
  </si>
  <si>
    <t>CGN20690</t>
  </si>
  <si>
    <t>UZB</t>
  </si>
  <si>
    <t>http://cgngenis.wur.nl/AccessionDetails.aspx?acnumber=CGN20690</t>
  </si>
  <si>
    <t>CGN20702</t>
  </si>
  <si>
    <t>http://cgngenis.wur.nl/AccessionDetails.aspx?acnumber=CGN20702</t>
  </si>
  <si>
    <t>CGN21373</t>
  </si>
  <si>
    <t>http://cgngenis.wur.nl/AccessionDetails.aspx?acnumber=CGN21373</t>
  </si>
  <si>
    <t>CGN21374</t>
  </si>
  <si>
    <t>http://cgngenis.wur.nl/AccessionDetails.aspx?acnumber=CGN21374</t>
  </si>
  <si>
    <t>CGN21375</t>
  </si>
  <si>
    <t>http://cgngenis.wur.nl/AccessionDetails.aspx?acnumber=CGN21375</t>
  </si>
  <si>
    <t>CGN21377</t>
  </si>
  <si>
    <t>http://cgngenis.wur.nl/AccessionDetails.aspx?acnumber=CGN21377</t>
  </si>
  <si>
    <t>CGN21379</t>
  </si>
  <si>
    <t>SVK</t>
  </si>
  <si>
    <t>http://cgngenis.wur.nl/AccessionDetails.aspx?acnumber=CGN21379</t>
  </si>
  <si>
    <t>CGN21380</t>
  </si>
  <si>
    <t>http://cgngenis.wur.nl/AccessionDetails.aspx?acnumber=CGN21380</t>
  </si>
  <si>
    <t>CGN21382</t>
  </si>
  <si>
    <t>http://cgngenis.wur.nl/AccessionDetails.aspx?acnumber=CGN21382</t>
  </si>
  <si>
    <t>CGN21389</t>
  </si>
  <si>
    <t>http://cgngenis.wur.nl/AccessionDetails.aspx?acnumber=CGN21389</t>
  </si>
  <si>
    <t>CGN21391</t>
  </si>
  <si>
    <t>http://cgngenis.wur.nl/AccessionDetails.aspx?acnumber=CGN21391</t>
  </si>
  <si>
    <t>CGN21407</t>
  </si>
  <si>
    <t>http://cgngenis.wur.nl/AccessionDetails.aspx?acnumber=CGN21407</t>
  </si>
  <si>
    <t>CGN22035</t>
  </si>
  <si>
    <t>http://cgngenis.wur.nl/AccessionDetails.aspx?acnumber=CGN22035</t>
  </si>
  <si>
    <t>CGN22037</t>
  </si>
  <si>
    <t>http://cgngenis.wur.nl/AccessionDetails.aspx?acnumber=CGN22037</t>
  </si>
  <si>
    <t>CGN22039</t>
  </si>
  <si>
    <t>http://cgngenis.wur.nl/AccessionDetails.aspx?acnumber=CGN22039</t>
  </si>
  <si>
    <t>CGN22043</t>
  </si>
  <si>
    <t>KGZ</t>
  </si>
  <si>
    <t>http://cgngenis.wur.nl/AccessionDetails.aspx?acnumber=CGN22043</t>
  </si>
  <si>
    <t>CGN22051</t>
  </si>
  <si>
    <t>http://cgngenis.wur.nl/AccessionDetails.aspx?acnumber=CGN22051</t>
  </si>
  <si>
    <t>CGN22053</t>
  </si>
  <si>
    <t>http://cgngenis.wur.nl/AccessionDetails.aspx?acnumber=CGN22053</t>
  </si>
  <si>
    <t>CGN22055</t>
  </si>
  <si>
    <t>http://cgngenis.wur.nl/AccessionDetails.aspx?acnumber=CGN22055</t>
  </si>
  <si>
    <t>CGN22058</t>
  </si>
  <si>
    <t>http://cgngenis.wur.nl/AccessionDetails.aspx?acnumber=CGN22058</t>
  </si>
  <si>
    <t>CGN22689</t>
  </si>
  <si>
    <t>http://cgngenis.wur.nl/AccessionDetails.aspx?acnumber=CGN22689</t>
  </si>
  <si>
    <t>CGN22691</t>
  </si>
  <si>
    <t>http://cgngenis.wur.nl/AccessionDetails.aspx?acnumber=CGN22691</t>
  </si>
  <si>
    <t>CGN22692</t>
  </si>
  <si>
    <t>http://cgngenis.wur.nl/AccessionDetails.aspx?acnumber=CGN22692</t>
  </si>
  <si>
    <t>CGN22693</t>
  </si>
  <si>
    <t>http://cgngenis.wur.nl/AccessionDetails.aspx?acnumber=CGN22693</t>
  </si>
  <si>
    <t>CGN22695</t>
  </si>
  <si>
    <t>http://cgngenis.wur.nl/AccessionDetails.aspx?acnumber=CGN22695</t>
  </si>
  <si>
    <t>CGN22736</t>
  </si>
  <si>
    <t>http://cgngenis.wur.nl/AccessionDetails.aspx?acnumber=CGN22736</t>
  </si>
  <si>
    <t>CGN22738</t>
  </si>
  <si>
    <t>http://cgngenis.wur.nl/AccessionDetails.aspx?acnumber=CGN22738</t>
  </si>
  <si>
    <t>CGN22740</t>
  </si>
  <si>
    <t>http://cgngenis.wur.nl/AccessionDetails.aspx?acnumber=CGN22740</t>
  </si>
  <si>
    <t>CGN22746</t>
  </si>
  <si>
    <t>http://cgngenis.wur.nl/AccessionDetails.aspx?acnumber=CGN22746</t>
  </si>
  <si>
    <t>CGN22750</t>
  </si>
  <si>
    <t>http://cgngenis.wur.nl/AccessionDetails.aspx?acnumber=CGN22750</t>
  </si>
  <si>
    <t>CGN22758</t>
  </si>
  <si>
    <t>http://cgngenis.wur.nl/AccessionDetails.aspx?acnumber=CGN22758</t>
  </si>
  <si>
    <t>CGN22759</t>
  </si>
  <si>
    <t>http://cgngenis.wur.nl/AccessionDetails.aspx?acnumber=CGN22759</t>
  </si>
  <si>
    <t>CGN23091</t>
  </si>
  <si>
    <t>http://cgngenis.wur.nl/AccessionDetails.aspx?acnumber=CGN23091</t>
  </si>
  <si>
    <t>CGN23855</t>
  </si>
  <si>
    <t>http://cgngenis.wur.nl/AccessionDetails.aspx?acnumber=CGN23855</t>
  </si>
  <si>
    <t>CGN23856</t>
  </si>
  <si>
    <t>http://cgngenis.wur.nl/AccessionDetails.aspx?acnumber=CGN23856</t>
  </si>
  <si>
    <t>CGN23860</t>
  </si>
  <si>
    <t>http://cgngenis.wur.nl/AccessionDetails.aspx?acnumber=CGN23860</t>
  </si>
  <si>
    <t>CGN23869</t>
  </si>
  <si>
    <t>http://cgngenis.wur.nl/AccessionDetails.aspx?acnumber=CGN23869</t>
  </si>
  <si>
    <t>CGN23871</t>
  </si>
  <si>
    <t>http://cgngenis.wur.nl/AccessionDetails.aspx?acnumber=CGN23871</t>
  </si>
  <si>
    <t>CGN23872</t>
  </si>
  <si>
    <t>http://cgngenis.wur.nl/AccessionDetails.aspx?acnumber=CGN23872</t>
  </si>
  <si>
    <t>CGN23874</t>
  </si>
  <si>
    <t>http://cgngenis.wur.nl/AccessionDetails.aspx?acnumber=CGN23874</t>
  </si>
  <si>
    <t>CGN23877</t>
  </si>
  <si>
    <t>http://cgngenis.wur.nl/AccessionDetails.aspx?acnumber=CGN23877</t>
  </si>
  <si>
    <t>CGN23884</t>
  </si>
  <si>
    <t>http://cgngenis.wur.nl/AccessionDetails.aspx?acnumber=CGN23884</t>
  </si>
  <si>
    <t>CGN23893</t>
  </si>
  <si>
    <t>http://cgngenis.wur.nl/AccessionDetails.aspx?acnumber=CGN23893</t>
  </si>
  <si>
    <t>CGN23895</t>
  </si>
  <si>
    <t>http://cgngenis.wur.nl/AccessionDetails.aspx?acnumber=CGN23895</t>
  </si>
  <si>
    <t>CGN24779</t>
  </si>
  <si>
    <t>Bremia differential S7 (Dm gene 7)</t>
  </si>
  <si>
    <t>http://cgngenis.wur.nl/AccessionDetails.aspx?acnumber=CGN24779</t>
  </si>
  <si>
    <t>CGN24780</t>
  </si>
  <si>
    <t>Bremia differential S15 (Dm gene 17)</t>
  </si>
  <si>
    <t>http://cgngenis.wur.nl/AccessionDetails.aspx?acnumber=CGN24780</t>
  </si>
  <si>
    <t>CGN05147</t>
  </si>
  <si>
    <t>L. saligna</t>
  </si>
  <si>
    <t>http://cgngenis.wur.nl/AccessionDetails.aspx?acnumber=CGN05147</t>
  </si>
  <si>
    <t>CGN05271</t>
  </si>
  <si>
    <t>http://cgngenis.wur.nl/AccessionDetails.aspx?acnumber=CGN05271</t>
  </si>
  <si>
    <t>CGN05282</t>
  </si>
  <si>
    <t>http://cgngenis.wur.nl/AccessionDetails.aspx?acnumber=CGN05282</t>
  </si>
  <si>
    <t>CGN05301</t>
  </si>
  <si>
    <t>http://cgngenis.wur.nl/AccessionDetails.aspx?acnumber=CGN05301</t>
  </si>
  <si>
    <t>CGN05304</t>
  </si>
  <si>
    <t>http://cgngenis.wur.nl/AccessionDetails.aspx?acnumber=CGN05304</t>
  </si>
  <si>
    <t>CGN05306</t>
  </si>
  <si>
    <t>http://cgngenis.wur.nl/AccessionDetails.aspx?acnumber=CGN05306</t>
  </si>
  <si>
    <t>CGN05309</t>
  </si>
  <si>
    <t>http://cgngenis.wur.nl/AccessionDetails.aspx?acnumber=CGN05309</t>
  </si>
  <si>
    <t>CGN05313</t>
  </si>
  <si>
    <t>http://cgngenis.wur.nl/AccessionDetails.aspx?acnumber=CGN05313</t>
  </si>
  <si>
    <t>CGN05315</t>
  </si>
  <si>
    <t>http://cgngenis.wur.nl/AccessionDetails.aspx?acnumber=CGN05315</t>
  </si>
  <si>
    <t>CGN05317</t>
  </si>
  <si>
    <t>http://cgngenis.wur.nl/AccessionDetails.aspx?acnumber=CGN05317</t>
  </si>
  <si>
    <t>CGN05318</t>
  </si>
  <si>
    <t>http://cgngenis.wur.nl/AccessionDetails.aspx?acnumber=CGN05318</t>
  </si>
  <si>
    <t>CGN05319</t>
  </si>
  <si>
    <t>http://cgngenis.wur.nl/AccessionDetails.aspx?acnumber=CGN05319</t>
  </si>
  <si>
    <t>CGN05320</t>
  </si>
  <si>
    <t>http://cgngenis.wur.nl/AccessionDetails.aspx?acnumber=CGN05320</t>
  </si>
  <si>
    <t>CGN05321</t>
  </si>
  <si>
    <t>http://cgngenis.wur.nl/AccessionDetails.aspx?acnumber=CGN05321</t>
  </si>
  <si>
    <t>CGN05323</t>
  </si>
  <si>
    <t>http://cgngenis.wur.nl/AccessionDetails.aspx?acnumber=CGN05323</t>
  </si>
  <si>
    <t>CGN05325</t>
  </si>
  <si>
    <t>http://cgngenis.wur.nl/AccessionDetails.aspx?acnumber=CGN05325</t>
  </si>
  <si>
    <t>CGN05327</t>
  </si>
  <si>
    <t>http://cgngenis.wur.nl/AccessionDetails.aspx?acnumber=CGN05327</t>
  </si>
  <si>
    <t>CGN05329</t>
  </si>
  <si>
    <t>Bremia resistance Bl:17/20/21/22/23, segregating for Bl:26</t>
  </si>
  <si>
    <t>http://cgngenis.wur.nl/AccessionDetails.aspx?acnumber=CGN05329</t>
  </si>
  <si>
    <t>CGN05330</t>
  </si>
  <si>
    <t>http://cgngenis.wur.nl/AccessionDetails.aspx?acnumber=CGN05330</t>
  </si>
  <si>
    <t>CGN05882</t>
  </si>
  <si>
    <t>http://cgngenis.wur.nl/AccessionDetails.aspx?acnumber=CGN05882</t>
  </si>
  <si>
    <t>CGN05895</t>
  </si>
  <si>
    <t>http://cgngenis.wur.nl/AccessionDetails.aspx?acnumber=CGN05895</t>
  </si>
  <si>
    <t>CGN05947</t>
  </si>
  <si>
    <t>http://cgngenis.wur.nl/AccessionDetails.aspx?acnumber=CGN05947</t>
  </si>
  <si>
    <t>CGN09313</t>
  </si>
  <si>
    <t>http://cgngenis.wur.nl/AccessionDetails.aspx?acnumber=CGN09313</t>
  </si>
  <si>
    <t>CGN09314</t>
  </si>
  <si>
    <t>http://cgngenis.wur.nl/AccessionDetails.aspx?acnumber=CGN09314</t>
  </si>
  <si>
    <t>CGN11341</t>
  </si>
  <si>
    <t>http://cgngenis.wur.nl/AccessionDetails.aspx?acnumber=CGN11341</t>
  </si>
  <si>
    <t>CGN13326</t>
  </si>
  <si>
    <t>Resistant to CMV1 and LIYV; Bremia resistance Bl:17/20/21/22/23/26</t>
  </si>
  <si>
    <t>http://cgngenis.wur.nl/AccessionDetails.aspx?acnumber=CGN13326</t>
  </si>
  <si>
    <t>CGN13327</t>
  </si>
  <si>
    <t>Resistant to CMV1 and LIYV</t>
  </si>
  <si>
    <t>http://cgngenis.wur.nl/AccessionDetails.aspx?acnumber=CGN13327</t>
  </si>
  <si>
    <t>CGN13330</t>
  </si>
  <si>
    <t>Resistant to corky root and TSWV</t>
  </si>
  <si>
    <t>http://cgngenis.wur.nl/AccessionDetails.aspx?acnumber=CGN13330</t>
  </si>
  <si>
    <t>CGN13374</t>
  </si>
  <si>
    <t>http://cgngenis.wur.nl/AccessionDetails.aspx?acnumber=CGN13374</t>
  </si>
  <si>
    <t>CGN15697</t>
  </si>
  <si>
    <t>http://cgngenis.wur.nl/AccessionDetails.aspx?acnumber=CGN15697</t>
  </si>
  <si>
    <t>CGN15699</t>
  </si>
  <si>
    <t>http://cgngenis.wur.nl/AccessionDetails.aspx?acnumber=CGN15699</t>
  </si>
  <si>
    <t>CGN15705</t>
  </si>
  <si>
    <t>http://cgngenis.wur.nl/AccessionDetails.aspx?acnumber=CGN15705</t>
  </si>
  <si>
    <t>CGN15726</t>
  </si>
  <si>
    <t>http://cgngenis.wur.nl/AccessionDetails.aspx?acnumber=CGN15726</t>
  </si>
  <si>
    <t>CGN16245</t>
  </si>
  <si>
    <t>http://cgngenis.wur.nl/AccessionDetails.aspx?acnumber=CGN16245</t>
  </si>
  <si>
    <t>CGN17386</t>
  </si>
  <si>
    <t>http://cgngenis.wur.nl/AccessionDetails.aspx?acnumber=CGN17386</t>
  </si>
  <si>
    <t>CGN17444</t>
  </si>
  <si>
    <t>http://cgngenis.wur.nl/AccessionDetails.aspx?acnumber=CGN17444</t>
  </si>
  <si>
    <t>CGN18674</t>
  </si>
  <si>
    <t>http://cgngenis.wur.nl/AccessionDetails.aspx?acnumber=CGN18674</t>
  </si>
  <si>
    <t>CGN19038</t>
  </si>
  <si>
    <t>http://cgngenis.wur.nl/AccessionDetails.aspx?acnumber=CGN19038</t>
  </si>
  <si>
    <t>CGN19047</t>
  </si>
  <si>
    <t>http://cgngenis.wur.nl/AccessionDetails.aspx?acnumber=CGN19047</t>
  </si>
  <si>
    <t>CGN19049</t>
  </si>
  <si>
    <t>http://cgngenis.wur.nl/AccessionDetails.aspx?acnumber=CGN19049</t>
  </si>
  <si>
    <t>CGN20121</t>
  </si>
  <si>
    <t>http://cgngenis.wur.nl/AccessionDetails.aspx?acnumber=CGN20121</t>
  </si>
  <si>
    <t>CGN20693</t>
  </si>
  <si>
    <t>L. altaica</t>
  </si>
  <si>
    <t>http://cgngenis.wur.nl/AccessionDetails.aspx?acnumber=CGN20693</t>
  </si>
  <si>
    <t>CGN20697</t>
  </si>
  <si>
    <t>http://cgngenis.wur.nl/AccessionDetails.aspx?acnumber=CGN20697</t>
  </si>
  <si>
    <t>CGN21395</t>
  </si>
  <si>
    <t>http://cgngenis.wur.nl/AccessionDetails.aspx?acnumber=CGN21395</t>
  </si>
  <si>
    <t>CGN21397</t>
  </si>
  <si>
    <t>http://cgngenis.wur.nl/AccessionDetails.aspx?acnumber=CGN21397</t>
  </si>
  <si>
    <t>CGN21406</t>
  </si>
  <si>
    <t>http://cgngenis.wur.nl/AccessionDetails.aspx?acnumber=CGN21406</t>
  </si>
  <si>
    <t>CGN23883</t>
  </si>
  <si>
    <t>http://cgngenis.wur.nl/AccessionDetails.aspx?acnumber=CGN23883</t>
  </si>
  <si>
    <t>WUR Department of Plant Breeding</t>
  </si>
  <si>
    <t>CGN04678</t>
  </si>
  <si>
    <t>L. virosa</t>
  </si>
  <si>
    <t>http://cgngenis.wur.nl/AccessionDetails.aspx?acnumber=CGN04678</t>
  </si>
  <si>
    <t>CGN04682</t>
  </si>
  <si>
    <t>Resistant to Nasonovia ribisnigri, Nr gene</t>
  </si>
  <si>
    <t>http://cgngenis.wur.nl/AccessionDetails.aspx?acnumber=CGN04682</t>
  </si>
  <si>
    <t>CGN04683</t>
  </si>
  <si>
    <t>http://cgngenis.wur.nl/AccessionDetails.aspx?acnumber=CGN04683</t>
  </si>
  <si>
    <t>CGN04950</t>
  </si>
  <si>
    <t>http://cgngenis.wur.nl/AccessionDetails.aspx?acnumber=CGN04950</t>
  </si>
  <si>
    <t>CGN04955</t>
  </si>
  <si>
    <t>http://cgngenis.wur.nl/AccessionDetails.aspx?acnumber=CGN04955</t>
  </si>
  <si>
    <t>CGN05077</t>
  </si>
  <si>
    <t>http://cgngenis.wur.nl/AccessionDetails.aspx?acnumber=CGN05077</t>
  </si>
  <si>
    <t>CGN05145</t>
  </si>
  <si>
    <t>http://cgngenis.wur.nl/AccessionDetails.aspx?acnumber=CGN05145</t>
  </si>
  <si>
    <t>CGN05148</t>
  </si>
  <si>
    <t>High resistance to Nasonovia ribisnigri Nr:1</t>
  </si>
  <si>
    <t>http://cgngenis.wur.nl/AccessionDetails.aspx?acnumber=CGN05148</t>
  </si>
  <si>
    <t>CGN05268</t>
  </si>
  <si>
    <t>http://cgngenis.wur.nl/AccessionDetails.aspx?acnumber=CGN05268</t>
  </si>
  <si>
    <t>CGN05270</t>
  </si>
  <si>
    <t>http://cgngenis.wur.nl/AccessionDetails.aspx?acnumber=CGN05270</t>
  </si>
  <si>
    <t>CGN05332</t>
  </si>
  <si>
    <t>http://cgngenis.wur.nl/AccessionDetails.aspx?acnumber=CGN05332</t>
  </si>
  <si>
    <t>CGN05333</t>
  </si>
  <si>
    <t>http://cgngenis.wur.nl/AccessionDetails.aspx?acnumber=CGN05333</t>
  </si>
  <si>
    <t>CGN05794</t>
  </si>
  <si>
    <t>http://cgngenis.wur.nl/AccessionDetails.aspx?acnumber=CGN05794</t>
  </si>
  <si>
    <t>CGN05869</t>
  </si>
  <si>
    <t>http://cgngenis.wur.nl/AccessionDetails.aspx?acnumber=CGN05869</t>
  </si>
  <si>
    <t>CGN09315</t>
  </si>
  <si>
    <t>http://cgngenis.wur.nl/AccessionDetails.aspx?acnumber=CGN09315</t>
  </si>
  <si>
    <t>CGN09316</t>
  </si>
  <si>
    <t>Partially resistant to Nasonovia ribisnigri</t>
  </si>
  <si>
    <t>http://cgngenis.wur.nl/AccessionDetails.aspx?acnumber=CGN09316</t>
  </si>
  <si>
    <t>CGN09364</t>
  </si>
  <si>
    <t>http://cgngenis.wur.nl/AccessionDetails.aspx?acnumber=CGN09364</t>
  </si>
  <si>
    <t>CGN09365</t>
  </si>
  <si>
    <t>Resistant to European LMV isolates, Mo3 gene</t>
  </si>
  <si>
    <t>http://cgngenis.wur.nl/AccessionDetails.aspx?acnumber=CGN09365</t>
  </si>
  <si>
    <t>CGN13302</t>
  </si>
  <si>
    <t>http://cgngenis.wur.nl/AccessionDetails.aspx?acnumber=CGN13302</t>
  </si>
  <si>
    <t>CGN13325</t>
  </si>
  <si>
    <t>Resistant to CMV2 and Sclerotinia minor</t>
  </si>
  <si>
    <t>http://cgngenis.wur.nl/AccessionDetails.aspx?acnumber=CGN13325</t>
  </si>
  <si>
    <t>CGN13337</t>
  </si>
  <si>
    <t>http://cgngenis.wur.nl/AccessionDetails.aspx?acnumber=CGN13337</t>
  </si>
  <si>
    <t>CGN13353</t>
  </si>
  <si>
    <t>Flower branches drooping</t>
  </si>
  <si>
    <t>http://cgngenis.wur.nl/AccessionDetails.aspx?acnumber=CGN13353</t>
  </si>
  <si>
    <t>CGN13355</t>
  </si>
  <si>
    <t>High resistance to Nasonovia ribisnigri Nr:0 and near complete resistance to Macrosiphum euphorbiae</t>
  </si>
  <si>
    <t>http://cgngenis.wur.nl/AccessionDetails.aspx?acnumber=CGN13355</t>
  </si>
  <si>
    <t>CGN13356</t>
  </si>
  <si>
    <t>http://cgngenis.wur.nl/AccessionDetails.aspx?acnumber=CGN13356</t>
  </si>
  <si>
    <t>CGN13361</t>
  </si>
  <si>
    <t>High resistance to Nasonovia ribisnigri Nr:0</t>
  </si>
  <si>
    <t>http://cgngenis.wur.nl/AccessionDetails.aspx?acnumber=CGN13361</t>
  </si>
  <si>
    <t>CGN14290</t>
  </si>
  <si>
    <t>http://cgngenis.wur.nl/AccessionDetails.aspx?acnumber=CGN14290</t>
  </si>
  <si>
    <t>CGN14291</t>
  </si>
  <si>
    <t>http://cgngenis.wur.nl/AccessionDetails.aspx?acnumber=CGN14291</t>
  </si>
  <si>
    <t>CGN14310</t>
  </si>
  <si>
    <t>http://cgngenis.wur.nl/AccessionDetails.aspx?acnumber=CGN14310</t>
  </si>
  <si>
    <t>CGN16266</t>
  </si>
  <si>
    <t>http://cgngenis.wur.nl/AccessionDetails.aspx?acnumber=CGN16266</t>
  </si>
  <si>
    <t>CGN16267</t>
  </si>
  <si>
    <t>http://cgngenis.wur.nl/AccessionDetails.aspx?acnumber=CGN16267</t>
  </si>
  <si>
    <t>CGN16272</t>
  </si>
  <si>
    <t>http://cgngenis.wur.nl/AccessionDetails.aspx?acnumber=CGN16272</t>
  </si>
  <si>
    <t>CGN16275</t>
  </si>
  <si>
    <t>http://cgngenis.wur.nl/AccessionDetails.aspx?acnumber=CGN16275</t>
  </si>
  <si>
    <t>CGN16285</t>
  </si>
  <si>
    <t>http://cgngenis.wur.nl/AccessionDetails.aspx?acnumber=CGN16285</t>
  </si>
  <si>
    <t>CGN17399</t>
  </si>
  <si>
    <t>http://cgngenis.wur.nl/AccessionDetails.aspx?acnumber=CGN17399</t>
  </si>
  <si>
    <t>CGN17400</t>
  </si>
  <si>
    <t>http://cgngenis.wur.nl/AccessionDetails.aspx?acnumber=CGN17400</t>
  </si>
  <si>
    <t>CGN17402</t>
  </si>
  <si>
    <t>http://cgngenis.wur.nl/AccessionDetails.aspx?acnumber=CGN17402</t>
  </si>
  <si>
    <t>CGN17437</t>
  </si>
  <si>
    <t>http://cgngenis.wur.nl/AccessionDetails.aspx?acnumber=CGN17437</t>
  </si>
  <si>
    <t>CGN17439</t>
  </si>
  <si>
    <t>http://cgngenis.wur.nl/AccessionDetails.aspx?acnumber=CGN17439</t>
  </si>
  <si>
    <t>CGN18619</t>
  </si>
  <si>
    <t>http://cgngenis.wur.nl/AccessionDetails.aspx?acnumber=CGN18619</t>
  </si>
  <si>
    <t>CGN18677</t>
  </si>
  <si>
    <t>CHL</t>
  </si>
  <si>
    <t>http://cgngenis.wur.nl/AccessionDetails.aspx?acnumber=CGN18677</t>
  </si>
  <si>
    <t>CGN18980</t>
  </si>
  <si>
    <t>http://cgngenis.wur.nl/AccessionDetails.aspx?acnumber=CGN18980</t>
  </si>
  <si>
    <t>CGN19045</t>
  </si>
  <si>
    <t>http://cgngenis.wur.nl/AccessionDetails.aspx?acnumber=CGN19045</t>
  </si>
  <si>
    <t>CGN20093</t>
  </si>
  <si>
    <t>http://cgngenis.wur.nl/AccessionDetails.aspx?acnumber=CGN20093</t>
  </si>
  <si>
    <t>CGN20680</t>
  </si>
  <si>
    <t>http://cgngenis.wur.nl/AccessionDetails.aspx?acnumber=CGN20680</t>
  </si>
  <si>
    <t>CGN21398</t>
  </si>
  <si>
    <t>http://cgngenis.wur.nl/AccessionDetails.aspx?acnumber=CGN21398</t>
  </si>
  <si>
    <t>CGN21399</t>
  </si>
  <si>
    <t>http://cgngenis.wur.nl/AccessionDetails.aspx?acnumber=CGN21399</t>
  </si>
  <si>
    <t>CGN21400</t>
  </si>
  <si>
    <t>http://cgngenis.wur.nl/AccessionDetails.aspx?acnumber=CGN21400</t>
  </si>
  <si>
    <t>CGN22690</t>
  </si>
  <si>
    <t>L. georgica</t>
  </si>
  <si>
    <t>http://cgngenis.wur.nl/AccessionDetails.aspx?acnumber=CGN22690</t>
  </si>
  <si>
    <t>CGN23887</t>
  </si>
  <si>
    <t>http://cgngenis.wur.nl/AccessionDetails.aspx?acnumber=CGN23887</t>
  </si>
  <si>
    <t>CGN23889</t>
  </si>
  <si>
    <t>http://cgngenis.wur.nl/AccessionDetails.aspx?acnumber=CGN23889</t>
  </si>
  <si>
    <t>CGN14315</t>
  </si>
  <si>
    <t>http://cgngenis.wur.nl/AccessionDetails.aspx?acnumber=CGN14315</t>
  </si>
  <si>
    <t>CGN15677</t>
  </si>
  <si>
    <t>http://cgngenis.wur.nl/AccessionDetails.aspx?acnumber=CGN15677</t>
  </si>
  <si>
    <t>CGN15679</t>
  </si>
  <si>
    <t>http://cgngenis.wur.nl/AccessionDetails.aspx?acnumber=CGN15679</t>
  </si>
  <si>
    <t>CGN15680</t>
  </si>
  <si>
    <t>http://cgngenis.wur.nl/AccessionDetails.aspx?acnumber=CGN15680</t>
  </si>
  <si>
    <t>CGN15681</t>
  </si>
  <si>
    <t>http://cgngenis.wur.nl/AccessionDetails.aspx?acnumber=CGN15681</t>
  </si>
  <si>
    <t>CGN16204</t>
  </si>
  <si>
    <t>http://cgngenis.wur.nl/AccessionDetails.aspx?acnumber=CGN16204</t>
  </si>
  <si>
    <t>CGN09357</t>
  </si>
  <si>
    <t>L. aculeata</t>
  </si>
  <si>
    <t>http://cgngenis.wur.nl/AccessionDetails.aspx?acnumber=CGN09357</t>
  </si>
  <si>
    <t>CGN15692</t>
  </si>
  <si>
    <t>http://cgngenis.wur.nl/AccessionDetails.aspx?acnumber=CGN15692</t>
  </si>
  <si>
    <t>CGN04664</t>
  </si>
  <si>
    <t>http://cgngenis.wur.nl/AccessionDetails.aspx?acnumber=CGN04664</t>
  </si>
  <si>
    <t>CGN15711</t>
  </si>
  <si>
    <t>http://cgngenis.wur.nl/AccessionDetails.aspx?acnumber=CGN15711</t>
  </si>
  <si>
    <t>CGN04790</t>
  </si>
  <si>
    <t>L. dregeana</t>
  </si>
  <si>
    <t>http://cgngenis.wur.nl/AccessionDetails.aspx?acnumber=CGN04790</t>
  </si>
  <si>
    <t>CGN05805</t>
  </si>
  <si>
    <t>http://cgngenis.wur.nl/AccessionDetails.aspx?acnumber=CGN05805</t>
  </si>
  <si>
    <t>CGN14220</t>
  </si>
  <si>
    <t>L. quercina</t>
  </si>
  <si>
    <t>http://cgngenis.wur.nl/AccessionDetails.aspx?acnumber=CGN14220</t>
  </si>
  <si>
    <t>CGN14308</t>
  </si>
  <si>
    <t>L. canadensis</t>
  </si>
  <si>
    <t>http://cgngenis.wur.nl/AccessionDetails.aspx?acnumber=CGN14308</t>
  </si>
  <si>
    <t>CGN17388</t>
  </si>
  <si>
    <t>http://cgngenis.wur.nl/AccessionDetails.aspx?acnumber=CGN17388</t>
  </si>
  <si>
    <t>CGN14312</t>
  </si>
  <si>
    <t>L. indica</t>
  </si>
  <si>
    <t>IDN</t>
  </si>
  <si>
    <t>http://cgngenis.wur.nl/AccessionDetails.aspx?acnumber=CGN14312</t>
  </si>
  <si>
    <t>CGN19018</t>
  </si>
  <si>
    <t>L. raddeana</t>
  </si>
  <si>
    <t>http://cgngenis.wur.nl/AccessionDetails.aspx?acnumber=CGN19018</t>
  </si>
  <si>
    <t>Warwick HRI Genetic Resources Unit</t>
  </si>
  <si>
    <t>HRIGRU 4952</t>
  </si>
  <si>
    <t>L. sagittata</t>
  </si>
  <si>
    <t>CSK</t>
  </si>
  <si>
    <t>PV15020</t>
  </si>
  <si>
    <r>
      <t>Fully crossable with</t>
    </r>
    <r>
      <rPr>
        <i/>
        <sz val="10"/>
        <rFont val="Calibri"/>
        <family val="2"/>
        <scheme val="minor"/>
      </rPr>
      <t xml:space="preserve"> L. sativa</t>
    </r>
    <r>
      <rPr>
        <sz val="10"/>
        <rFont val="Calibri"/>
        <family val="2"/>
        <scheme val="minor"/>
      </rPr>
      <t>, resulting in fertile F1</t>
    </r>
  </si>
  <si>
    <r>
      <t xml:space="preserve">Source reference genome </t>
    </r>
    <r>
      <rPr>
        <i/>
        <sz val="10"/>
        <rFont val="Calibri"/>
        <family val="2"/>
        <scheme val="minor"/>
      </rPr>
      <t>L. serriola</t>
    </r>
  </si>
  <si>
    <r>
      <t xml:space="preserve">Source reference genome </t>
    </r>
    <r>
      <rPr>
        <i/>
        <sz val="10"/>
        <rFont val="Calibri"/>
        <family val="2"/>
        <scheme val="minor"/>
      </rPr>
      <t>L. saligna</t>
    </r>
  </si>
  <si>
    <r>
      <t xml:space="preserve">Source reference genome </t>
    </r>
    <r>
      <rPr>
        <i/>
        <sz val="10"/>
        <rFont val="Calibri"/>
        <family val="2"/>
        <scheme val="minor"/>
      </rPr>
      <t>L. sativa</t>
    </r>
  </si>
  <si>
    <r>
      <t>Source reference genome</t>
    </r>
    <r>
      <rPr>
        <i/>
        <sz val="10"/>
        <rFont val="Calibri"/>
        <family val="2"/>
        <scheme val="minor"/>
      </rPr>
      <t xml:space="preserve"> L. virosa</t>
    </r>
    <r>
      <rPr>
        <sz val="10"/>
        <rFont val="Calibri"/>
        <family val="2"/>
        <scheme val="minor"/>
      </rPr>
      <t>; Resistant to Nasonovia ribisnigri, Nr gene</t>
    </r>
  </si>
  <si>
    <t>TKI-457</t>
  </si>
  <si>
    <t>TKI-458</t>
  </si>
  <si>
    <t>TKI-459</t>
  </si>
  <si>
    <t>TKI-461</t>
  </si>
  <si>
    <t>TKI-463</t>
  </si>
  <si>
    <t>TKI-472</t>
  </si>
  <si>
    <t>TKI-475</t>
  </si>
  <si>
    <t>2017 (TKI)</t>
  </si>
  <si>
    <t>2016 (ZonMw)</t>
  </si>
  <si>
    <t>2017 (TKI); 2018 (BGI)</t>
  </si>
  <si>
    <t>2018 (BGI)</t>
  </si>
  <si>
    <t>CGN16198</t>
  </si>
  <si>
    <t>http://cgngenis.wur.nl/AccessionDetails.aspx?acnumber=CGN16198</t>
  </si>
  <si>
    <t>CGN16199</t>
  </si>
  <si>
    <t>http://cgngenis.wur.nl/AccessionDetails.aspx?acnumber=CGN16199</t>
  </si>
  <si>
    <t>CGN16200</t>
  </si>
  <si>
    <t>http://cgngenis.wur.nl/AccessionDetails.aspx?acnumber=CGN16200</t>
  </si>
  <si>
    <t>CGN16203</t>
  </si>
  <si>
    <t>http://cgngenis.wur.nl/AccessionDetails.aspx?acnumber=CGN16203</t>
  </si>
  <si>
    <t>IPK Genebank</t>
  </si>
  <si>
    <t>LAC 327</t>
  </si>
  <si>
    <t>http://gbis.ipk-gatersleben.de/gbis_i/detail.jsf?akzessionId=57415</t>
  </si>
  <si>
    <t>CGN18998</t>
  </si>
  <si>
    <t>L. biennis</t>
  </si>
  <si>
    <t>http://cgngenis.wur.nl/AccessionDetails.aspx?acnumber=CGN18998</t>
  </si>
  <si>
    <t>CGN23443</t>
  </si>
  <si>
    <t>L. floridana</t>
  </si>
  <si>
    <t>http://cgngenis.wur.nl/AccessionDetails.aspx?acnumber=CGN23443</t>
  </si>
  <si>
    <r>
      <t xml:space="preserve">Bremia lactucae </t>
    </r>
    <r>
      <rPr>
        <b/>
        <sz val="10"/>
        <color theme="1"/>
        <rFont val="Calibri"/>
        <family val="2"/>
        <scheme val="minor"/>
      </rPr>
      <t>Bl:29/Bl:31/AS-11</t>
    </r>
  </si>
  <si>
    <r>
      <t>Bremia lactucae</t>
    </r>
    <r>
      <rPr>
        <b/>
        <sz val="10"/>
        <color theme="1"/>
        <rFont val="Calibri"/>
        <family val="2"/>
        <scheme val="minor"/>
      </rPr>
      <t xml:space="preserve"> Bl:27/Bl:29/Bl:31</t>
    </r>
  </si>
  <si>
    <t>DOI</t>
  </si>
  <si>
    <t>10.18730/JDTP2</t>
  </si>
  <si>
    <t>10.18730/JDTQ3</t>
  </si>
  <si>
    <t>10.18730/JDTR4</t>
  </si>
  <si>
    <t>10.18730/JDTS5</t>
  </si>
  <si>
    <t>10.18730/JDTT6</t>
  </si>
  <si>
    <t>10.18730/JDTV7</t>
  </si>
  <si>
    <t>10.18730/JDTW8</t>
  </si>
  <si>
    <t>10.18730/JDTX9</t>
  </si>
  <si>
    <t>10.18730/JDTYA</t>
  </si>
  <si>
    <t>10.18730/JDTZB</t>
  </si>
  <si>
    <t>10.18730/JDV0C</t>
  </si>
  <si>
    <t>10.18730/JDV1D</t>
  </si>
  <si>
    <t>10.18730/JDV2E</t>
  </si>
  <si>
    <t>10.18730/JDV3F</t>
  </si>
  <si>
    <t>10.18730/JDV4G</t>
  </si>
  <si>
    <t>10.18730/JDV5H</t>
  </si>
  <si>
    <t>10.18730/JDV6J</t>
  </si>
  <si>
    <t>10.18730/JDV7K</t>
  </si>
  <si>
    <t>10.18730/JDV8M</t>
  </si>
  <si>
    <t>10.18730/JDV9N</t>
  </si>
  <si>
    <t>10.18730/JDVAP</t>
  </si>
  <si>
    <t>10.18730/JDVBQ</t>
  </si>
  <si>
    <t>10.18730/JDVCR</t>
  </si>
  <si>
    <t>10.18730/JDVDS</t>
  </si>
  <si>
    <t>10.18730/JDVET</t>
  </si>
  <si>
    <t>10.18730/JDVFV</t>
  </si>
  <si>
    <t>10.18730/JDVGW</t>
  </si>
  <si>
    <t>10.18730/JDVHX</t>
  </si>
  <si>
    <t>10.18730/JDVJY</t>
  </si>
  <si>
    <t>10.18730/JDVKZ</t>
  </si>
  <si>
    <t>10.18730/JDVM*</t>
  </si>
  <si>
    <t>10.18730/JDVN~</t>
  </si>
  <si>
    <t>10.18730/JDVP$</t>
  </si>
  <si>
    <t>10.18730/JDVQ=</t>
  </si>
  <si>
    <t>10.18730/JDVRU</t>
  </si>
  <si>
    <t>10.18730/JDVS0</t>
  </si>
  <si>
    <t>10.18730/JDVT1</t>
  </si>
  <si>
    <t>10.18730/JDVV2</t>
  </si>
  <si>
    <t>10.18730/JDVW3</t>
  </si>
  <si>
    <t>10.18730/JDVX4</t>
  </si>
  <si>
    <t>10.18730/JDVY5</t>
  </si>
  <si>
    <t>10.18730/JDVZ6</t>
  </si>
  <si>
    <t>10.18730/JDW07</t>
  </si>
  <si>
    <t>10.18730/JDW18</t>
  </si>
  <si>
    <t>10.18730/JDW29</t>
  </si>
  <si>
    <t>10.18730/JDW3A</t>
  </si>
  <si>
    <t>10.18730/JDW4B</t>
  </si>
  <si>
    <t>10.18730/JDW5C</t>
  </si>
  <si>
    <t>10.18730/JDW6D</t>
  </si>
  <si>
    <t>10.18730/JDW7E</t>
  </si>
  <si>
    <t>10.18730/JDW8F</t>
  </si>
  <si>
    <t>10.18730/JDW9G</t>
  </si>
  <si>
    <t>10.18730/JDWAH</t>
  </si>
  <si>
    <t>10.18730/JDWBJ</t>
  </si>
  <si>
    <t>10.18730/JDWCK</t>
  </si>
  <si>
    <t>10.18730/JDWDM</t>
  </si>
  <si>
    <t>10.18730/JDWEN</t>
  </si>
  <si>
    <t>10.18730/JDWFP</t>
  </si>
  <si>
    <t>10.18730/JDWGQ</t>
  </si>
  <si>
    <t>10.18730/JDWHR</t>
  </si>
  <si>
    <t>10.18730/JDWJS</t>
  </si>
  <si>
    <t>10.18730/JDWKT</t>
  </si>
  <si>
    <t>10.18730/JDWMV</t>
  </si>
  <si>
    <t>10.18730/JDWNW</t>
  </si>
  <si>
    <t>10.18730/JDWPX</t>
  </si>
  <si>
    <t>10.18730/JDWQY</t>
  </si>
  <si>
    <t>10.18730/JDWRZ</t>
  </si>
  <si>
    <t>10.18730/JDWS*</t>
  </si>
  <si>
    <t>10.18730/JDWT~</t>
  </si>
  <si>
    <t>10.18730/JDWV$</t>
  </si>
  <si>
    <t>10.18730/JDWW=</t>
  </si>
  <si>
    <t>10.18730/JDWXU</t>
  </si>
  <si>
    <t>10.18730/JDWY0</t>
  </si>
  <si>
    <t>10.18730/JDWZ1</t>
  </si>
  <si>
    <t>10.18730/JDX02</t>
  </si>
  <si>
    <t>10.18730/JDX13</t>
  </si>
  <si>
    <t>10.18730/JDX24</t>
  </si>
  <si>
    <t>10.18730/JDX35</t>
  </si>
  <si>
    <t>10.18730/JDX46</t>
  </si>
  <si>
    <t>10.18730/JDX57</t>
  </si>
  <si>
    <t>10.18730/JDX68</t>
  </si>
  <si>
    <t>10.18730/JDX79</t>
  </si>
  <si>
    <t>10.18730/JDX8A</t>
  </si>
  <si>
    <t>10.18730/JDX9B</t>
  </si>
  <si>
    <t>10.18730/JDXAC</t>
  </si>
  <si>
    <t>10.18730/JDXBD</t>
  </si>
  <si>
    <t>10.18730/JDXCE</t>
  </si>
  <si>
    <t>10.18730/JDXDF</t>
  </si>
  <si>
    <t>10.18730/JDXEG</t>
  </si>
  <si>
    <t>10.18730/JDXFH</t>
  </si>
  <si>
    <t>10.18730/JDXGJ</t>
  </si>
  <si>
    <t>10.18730/JDXHK</t>
  </si>
  <si>
    <t>10.18730/JDXJM</t>
  </si>
  <si>
    <t>10.18730/JDXKN</t>
  </si>
  <si>
    <t>10.18730/JDXMP</t>
  </si>
  <si>
    <t>10.18730/JDXNQ</t>
  </si>
  <si>
    <t>10.18730/JDXPR</t>
  </si>
  <si>
    <t>10.18730/JDXQS</t>
  </si>
  <si>
    <t>10.18730/JDXRT</t>
  </si>
  <si>
    <t>10.18730/JDXSV</t>
  </si>
  <si>
    <t>10.18730/JDXTW</t>
  </si>
  <si>
    <t>10.18730/JDXVX</t>
  </si>
  <si>
    <t>10.18730/JDXWY</t>
  </si>
  <si>
    <t>10.18730/JDXXZ</t>
  </si>
  <si>
    <t>10.18730/JDXY*</t>
  </si>
  <si>
    <t>10.18730/JDXZ~</t>
  </si>
  <si>
    <t>10.18730/JDY0$</t>
  </si>
  <si>
    <t>10.18730/JDY1=</t>
  </si>
  <si>
    <t>10.18730/JDY2U</t>
  </si>
  <si>
    <t>10.18730/JDY30</t>
  </si>
  <si>
    <t>10.18730/JDY41</t>
  </si>
  <si>
    <t>10.18730/JDY52</t>
  </si>
  <si>
    <t>10.18730/JDY63</t>
  </si>
  <si>
    <t>10.18730/JDY74</t>
  </si>
  <si>
    <t>10.18730/JDY85</t>
  </si>
  <si>
    <t>10.18730/JDY96</t>
  </si>
  <si>
    <t>10.18730/JDYA7</t>
  </si>
  <si>
    <t>10.18730/JDYB8</t>
  </si>
  <si>
    <t>10.18730/JDYC9</t>
  </si>
  <si>
    <t>10.18730/JDYDA</t>
  </si>
  <si>
    <t>10.18730/JDYEB</t>
  </si>
  <si>
    <t>10.18730/JDYFC</t>
  </si>
  <si>
    <t>10.18730/JDYGD</t>
  </si>
  <si>
    <t>10.18730/JDYHE</t>
  </si>
  <si>
    <t>10.18730/JDYJF</t>
  </si>
  <si>
    <t>10.18730/JDYKG</t>
  </si>
  <si>
    <t>10.18730/JDYMH</t>
  </si>
  <si>
    <t>10.18730/JDYNJ</t>
  </si>
  <si>
    <t>10.18730/JDYPK</t>
  </si>
  <si>
    <t>10.18730/JDYQM</t>
  </si>
  <si>
    <t>10.18730/JDYRN</t>
  </si>
  <si>
    <t>10.18730/JDYSP</t>
  </si>
  <si>
    <t>10.18730/JDYTQ</t>
  </si>
  <si>
    <t>10.18730/JDYVR</t>
  </si>
  <si>
    <t>10.18730/JDYWS</t>
  </si>
  <si>
    <t>10.18730/JDYXT</t>
  </si>
  <si>
    <t>10.18730/JDYYV</t>
  </si>
  <si>
    <t>10.18730/JDYZW</t>
  </si>
  <si>
    <t>10.18730/JDZ0X</t>
  </si>
  <si>
    <t>10.18730/JDZ1Y</t>
  </si>
  <si>
    <t>10.18730/JDZ2Z</t>
  </si>
  <si>
    <t>10.18730/JDZ3*</t>
  </si>
  <si>
    <t>10.18730/JDZ4~</t>
  </si>
  <si>
    <t>10.18730/JDZ5$</t>
  </si>
  <si>
    <t>10.18730/JDZ6=</t>
  </si>
  <si>
    <t>10.18730/JDZ7U</t>
  </si>
  <si>
    <t>10.18730/JDZ80</t>
  </si>
  <si>
    <t>10.18730/JDZ91</t>
  </si>
  <si>
    <t>10.18730/JDZA2</t>
  </si>
  <si>
    <t>10.18730/JDZB3</t>
  </si>
  <si>
    <t>10.18730/JDZC4</t>
  </si>
  <si>
    <t>10.18730/JDZD5</t>
  </si>
  <si>
    <t>10.18730/JDZE6</t>
  </si>
  <si>
    <t>10.18730/JDZF7</t>
  </si>
  <si>
    <t>10.18730/JDZG8</t>
  </si>
  <si>
    <t>10.18730/JDZH9</t>
  </si>
  <si>
    <t>10.18730/JDZJA</t>
  </si>
  <si>
    <t>10.18730/JDZKB</t>
  </si>
  <si>
    <t>10.18730/JDZMC</t>
  </si>
  <si>
    <t>10.18730/JDZND</t>
  </si>
  <si>
    <t>10.18730/JDZPE</t>
  </si>
  <si>
    <t>10.18730/JDZQF</t>
  </si>
  <si>
    <t>10.18730/JDZRG</t>
  </si>
  <si>
    <t>10.18730/JDZSH</t>
  </si>
  <si>
    <t>10.18730/JDZTJ</t>
  </si>
  <si>
    <t>10.18730/JDZVK</t>
  </si>
  <si>
    <t>10.18730/JDZWM</t>
  </si>
  <si>
    <t>10.18730/JDZXN</t>
  </si>
  <si>
    <t>10.18730/JDZYP</t>
  </si>
  <si>
    <t>10.18730/JDZZQ</t>
  </si>
  <si>
    <t>10.18730/JE00R</t>
  </si>
  <si>
    <t>10.18730/JE01S</t>
  </si>
  <si>
    <t>10.18730/JE02T</t>
  </si>
  <si>
    <t>10.18730/JE03V</t>
  </si>
  <si>
    <t>10.18730/JE04W</t>
  </si>
  <si>
    <t>10.18730/JE05X</t>
  </si>
  <si>
    <t>10.18730/JE06Y</t>
  </si>
  <si>
    <t>10.18730/JE07Z</t>
  </si>
  <si>
    <t>10.18730/JE08*</t>
  </si>
  <si>
    <t>10.18730/JE09~</t>
  </si>
  <si>
    <t>10.18730/JE0A$</t>
  </si>
  <si>
    <t>10.18730/JE0B=</t>
  </si>
  <si>
    <t>10.18730/JE0CU</t>
  </si>
  <si>
    <t>10.18730/JE0D0</t>
  </si>
  <si>
    <t>10.18730/JE0E1</t>
  </si>
  <si>
    <t>10.18730/JE0F2</t>
  </si>
  <si>
    <t>10.18730/JE0G3</t>
  </si>
  <si>
    <t>10.18730/JE0H4</t>
  </si>
  <si>
    <t>10.18730/JE0J5</t>
  </si>
  <si>
    <t>10.18730/JE0K6</t>
  </si>
  <si>
    <t>10.18730/JE0M7</t>
  </si>
  <si>
    <t>10.18730/JE0N8</t>
  </si>
  <si>
    <t>10.18730/JE0P9</t>
  </si>
  <si>
    <t>10.18730/JE0QA</t>
  </si>
  <si>
    <t>10.18730/JE0RB</t>
  </si>
  <si>
    <t>10.18730/JE0SC</t>
  </si>
  <si>
    <t>10.18730/JE0TD</t>
  </si>
  <si>
    <t>10.18730/JE0VE</t>
  </si>
  <si>
    <t>10.18730/JE0WF</t>
  </si>
  <si>
    <t>10.18730/JE0XG</t>
  </si>
  <si>
    <t>10.18730/JE0YH</t>
  </si>
  <si>
    <t>10.18730/JE0ZJ</t>
  </si>
  <si>
    <t>10.18730/JE10K</t>
  </si>
  <si>
    <t>10.18730/JE11M</t>
  </si>
  <si>
    <t>10.18730/JE12N</t>
  </si>
  <si>
    <t>10.18730/JE13P</t>
  </si>
  <si>
    <t>10.18730/JE14Q</t>
  </si>
  <si>
    <t>10.18730/JE15R</t>
  </si>
  <si>
    <t>10.18730/JE16S</t>
  </si>
  <si>
    <t>10.18730/JE17T</t>
  </si>
  <si>
    <t>10.18730/JE18V</t>
  </si>
  <si>
    <t>10.18730/JE19W</t>
  </si>
  <si>
    <t>10.18730/JE1AX</t>
  </si>
  <si>
    <t>10.18730/JE1BY</t>
  </si>
  <si>
    <t>10.18730/JE1CZ</t>
  </si>
  <si>
    <t>10.18730/JE1D*</t>
  </si>
  <si>
    <t>10.18730/JE1E~</t>
  </si>
  <si>
    <t>10.18730/JE1F$</t>
  </si>
  <si>
    <t>10.18730/JE1G=</t>
  </si>
  <si>
    <t>10.18730/JE1HU</t>
  </si>
  <si>
    <t>10.18730/JE1J0</t>
  </si>
  <si>
    <t>10.18730/JE1K1</t>
  </si>
  <si>
    <t>10.18730/JE1M2</t>
  </si>
  <si>
    <t>10.18730/JE1N3</t>
  </si>
  <si>
    <t>10.18730/JE1P4</t>
  </si>
  <si>
    <t>10.18730/JE1Q5</t>
  </si>
  <si>
    <t>10.18730/JE1R6</t>
  </si>
  <si>
    <t>10.18730/JE1S7</t>
  </si>
  <si>
    <t>10.18730/JE1T8</t>
  </si>
  <si>
    <t>10.18730/JE1V9</t>
  </si>
  <si>
    <t>10.18730/JE1WA</t>
  </si>
  <si>
    <t>10.18730/JE1XB</t>
  </si>
  <si>
    <t>10.18730/JE1YC</t>
  </si>
  <si>
    <t>10.18730/JE1ZD</t>
  </si>
  <si>
    <t>10.18730/JE20E</t>
  </si>
  <si>
    <t>10.18730/JE21F</t>
  </si>
  <si>
    <t>10.18730/JE22G</t>
  </si>
  <si>
    <t>10.18730/JE23H</t>
  </si>
  <si>
    <t>10.18730/JE24J</t>
  </si>
  <si>
    <t>10.18730/JE25K</t>
  </si>
  <si>
    <t>10.18730/JE26M</t>
  </si>
  <si>
    <t>10.18730/JE27N</t>
  </si>
  <si>
    <t>10.18730/JE28P</t>
  </si>
  <si>
    <t>10.18730/JE29Q</t>
  </si>
  <si>
    <t>10.18730/JE2AR</t>
  </si>
  <si>
    <t>10.18730/JE2BS</t>
  </si>
  <si>
    <t>10.18730/JE2CT</t>
  </si>
  <si>
    <t>10.18730/JE2DV</t>
  </si>
  <si>
    <t>10.18730/JE2EW</t>
  </si>
  <si>
    <t>10.18730/JE2FX</t>
  </si>
  <si>
    <t>10.18730/JE2GY</t>
  </si>
  <si>
    <t>10.18730/JE2HZ</t>
  </si>
  <si>
    <t>10.18730/JE2J*</t>
  </si>
  <si>
    <t>10.18730/JE2K~</t>
  </si>
  <si>
    <t>10.18730/JE2M$</t>
  </si>
  <si>
    <t>10.18730/JE2N=</t>
  </si>
  <si>
    <t>10.18730/JE2PU</t>
  </si>
  <si>
    <t>10.18730/JE2Q0</t>
  </si>
  <si>
    <t>10.18730/JE2R1</t>
  </si>
  <si>
    <t>10.18730/JE2S2</t>
  </si>
  <si>
    <t>10.18730/JE2T3</t>
  </si>
  <si>
    <t>10.18730/JE2V4</t>
  </si>
  <si>
    <t>10.18730/JE2W5</t>
  </si>
  <si>
    <t>10.18730/JE2X6</t>
  </si>
  <si>
    <t>10.18730/JE2Y7</t>
  </si>
  <si>
    <t>10.18730/JE2Z8</t>
  </si>
  <si>
    <t>10.18730/JE309</t>
  </si>
  <si>
    <t>10.18730/JE31A</t>
  </si>
  <si>
    <t>10.18730/JE32B</t>
  </si>
  <si>
    <t>10.18730/JE33C</t>
  </si>
  <si>
    <t>10.18730/JE34D</t>
  </si>
  <si>
    <t>10.18730/JE35E</t>
  </si>
  <si>
    <t>10.18730/JE36F</t>
  </si>
  <si>
    <t>10.18730/JE37G</t>
  </si>
  <si>
    <t>10.18730/JE38H</t>
  </si>
  <si>
    <t>10.18730/JE39J</t>
  </si>
  <si>
    <t>10.18730/JE3AK</t>
  </si>
  <si>
    <t>10.18730/JE3BM</t>
  </si>
  <si>
    <t>10.18730/JE3CN</t>
  </si>
  <si>
    <t>10.18730/JE3DP</t>
  </si>
  <si>
    <t>10.18730/JE3EQ</t>
  </si>
  <si>
    <t>10.18730/JE3FR</t>
  </si>
  <si>
    <t>10.18730/JE3GS</t>
  </si>
  <si>
    <t>10.18730/JE3HT</t>
  </si>
  <si>
    <t>10.18730/JE3JV</t>
  </si>
  <si>
    <t>10.18730/JE3KW</t>
  </si>
  <si>
    <t>10.18730/JE3MX</t>
  </si>
  <si>
    <t>10.18730/JE3NY</t>
  </si>
  <si>
    <t>10.18730/JE3PZ</t>
  </si>
  <si>
    <t>10.18730/JE3Q*</t>
  </si>
  <si>
    <t>10.18730/JE3R~</t>
  </si>
  <si>
    <t>10.18730/JE3S$</t>
  </si>
  <si>
    <t>10.18730/JE3T=</t>
  </si>
  <si>
    <t>10.18730/JE3VU</t>
  </si>
  <si>
    <t>10.18730/JE3W0</t>
  </si>
  <si>
    <t>10.18730/JE3X1</t>
  </si>
  <si>
    <t>10.18730/JE3Y2</t>
  </si>
  <si>
    <t>10.18730/JE3Z3</t>
  </si>
  <si>
    <t>10.18730/JE404</t>
  </si>
  <si>
    <t>10.18730/JE415</t>
  </si>
  <si>
    <t>10.18730/JE426</t>
  </si>
  <si>
    <t>10.18730/JE437</t>
  </si>
  <si>
    <t>10.18730/JE448</t>
  </si>
  <si>
    <t>10.18730/JE459</t>
  </si>
  <si>
    <t>10.18730/JE46A</t>
  </si>
  <si>
    <t>10.18730/JE47B</t>
  </si>
  <si>
    <t>10.18730/JE48C</t>
  </si>
  <si>
    <t>10.18730/JE49D</t>
  </si>
  <si>
    <t>10.18730/JE4AE</t>
  </si>
  <si>
    <t>10.18730/JE4BF</t>
  </si>
  <si>
    <t>10.18730/JE4CG</t>
  </si>
  <si>
    <t>10.18730/JE4DH</t>
  </si>
  <si>
    <t>10.18730/JE4EJ</t>
  </si>
  <si>
    <t>10.18730/JE4FK</t>
  </si>
  <si>
    <t>10.18730/JE4GM</t>
  </si>
  <si>
    <t>10.18730/JE4HN</t>
  </si>
  <si>
    <t>10.18730/JE4JP</t>
  </si>
  <si>
    <t>10.18730/JE4KQ</t>
  </si>
  <si>
    <t>10.18730/JE4MR</t>
  </si>
  <si>
    <t>10.18730/JE4NS</t>
  </si>
  <si>
    <t>10.18730/JE4PT</t>
  </si>
  <si>
    <t>10.18730/JE4QV</t>
  </si>
  <si>
    <t>10.18730/JE4RW</t>
  </si>
  <si>
    <t>10.18730/JE4SX</t>
  </si>
  <si>
    <t>10.18730/JE4TY</t>
  </si>
  <si>
    <t>10.18730/JE4VZ</t>
  </si>
  <si>
    <t>10.18730/JE4W*</t>
  </si>
  <si>
    <t>10.18730/JE4X~</t>
  </si>
  <si>
    <t>10.18730/JE4Y$</t>
  </si>
  <si>
    <t>10.18730/JE4Z=</t>
  </si>
  <si>
    <t>10.18730/JE50U</t>
  </si>
  <si>
    <t>10.18730/JE510</t>
  </si>
  <si>
    <t>10.18730/JE521</t>
  </si>
  <si>
    <t>10.18730/JE532</t>
  </si>
  <si>
    <t>10.18730/JE543</t>
  </si>
  <si>
    <t>10.18730/JE554</t>
  </si>
  <si>
    <t>10.18730/JE565</t>
  </si>
  <si>
    <t>10.18730/JE576</t>
  </si>
  <si>
    <t>10.18730/JE587</t>
  </si>
  <si>
    <t>10.18730/JE598</t>
  </si>
  <si>
    <t>10.18730/JE5A9</t>
  </si>
  <si>
    <t>10.18730/JE5BA</t>
  </si>
  <si>
    <t>10.18730/JE5CB</t>
  </si>
  <si>
    <t>10.18730/JE5DC</t>
  </si>
  <si>
    <t>10.18730/JE5ED</t>
  </si>
  <si>
    <t>10.18730/JE5FE</t>
  </si>
  <si>
    <t>10.18730/JE5GF</t>
  </si>
  <si>
    <t>10.18730/JE5HG</t>
  </si>
  <si>
    <t>10.18730/JE5JH</t>
  </si>
  <si>
    <t>10.18730/JE5KJ</t>
  </si>
  <si>
    <t>10.18730/JE5MK</t>
  </si>
  <si>
    <t>10.18730/JE5NM</t>
  </si>
  <si>
    <t>10.18730/JE5PN</t>
  </si>
  <si>
    <t>10.18730/JE5QP</t>
  </si>
  <si>
    <t>10.18730/JE5RQ</t>
  </si>
  <si>
    <t>10.18730/JE5SR</t>
  </si>
  <si>
    <t>10.18730/JE5TS</t>
  </si>
  <si>
    <t>10.18730/JE5VT</t>
  </si>
  <si>
    <t>10.18730/JE5WV</t>
  </si>
  <si>
    <t>10.18730/JE5XW</t>
  </si>
  <si>
    <t>10.18730/JE5YX</t>
  </si>
  <si>
    <t>10.18730/JE5ZY</t>
  </si>
  <si>
    <t>10.18730/JE60Z</t>
  </si>
  <si>
    <t>10.18730/JE61*</t>
  </si>
  <si>
    <t>10.18730/JE62~</t>
  </si>
  <si>
    <t>10.18730/JE63$</t>
  </si>
  <si>
    <t>10.18730/JE64=</t>
  </si>
  <si>
    <t>10.18730/JE65U</t>
  </si>
  <si>
    <t>10.18730/JE660</t>
  </si>
  <si>
    <t>10.18730/JE671</t>
  </si>
  <si>
    <t>10.18730/JE682</t>
  </si>
  <si>
    <t>10.18730/JE693</t>
  </si>
  <si>
    <t>10.18730/JE6A4</t>
  </si>
  <si>
    <t>10.18730/JE6B5</t>
  </si>
  <si>
    <t>10.18730/JE6C6</t>
  </si>
  <si>
    <t>10.18730/JE6D7</t>
  </si>
  <si>
    <t>10.18730/JE6E8</t>
  </si>
  <si>
    <t>10.18730/JE6F9</t>
  </si>
  <si>
    <t>10.18730/JE6GA</t>
  </si>
  <si>
    <t>10.18730/JE6HB</t>
  </si>
  <si>
    <t>10.18730/JE6JC</t>
  </si>
  <si>
    <t>10.18730/JE6KD</t>
  </si>
  <si>
    <t>10.18730/JE6ME</t>
  </si>
  <si>
    <t>10.18730/JE6NF</t>
  </si>
  <si>
    <t>10.18730/JE6PG</t>
  </si>
  <si>
    <t>10.18730/JE6QH</t>
  </si>
  <si>
    <t>10.18730/JE6RJ</t>
  </si>
  <si>
    <t>10.18730/JE6SK</t>
  </si>
  <si>
    <t>10.18730/JE6TM</t>
  </si>
  <si>
    <t>10.18730/JE6VN</t>
  </si>
  <si>
    <t>10.18730/JE6WP</t>
  </si>
  <si>
    <t>10.18730/JE6XQ</t>
  </si>
  <si>
    <t>10.18730/JE6YR</t>
  </si>
  <si>
    <t>10.18730/JE6ZS</t>
  </si>
  <si>
    <t>10.18730/JE70T</t>
  </si>
  <si>
    <t>10.18730/JE71V</t>
  </si>
  <si>
    <t>10.18730/JE72W</t>
  </si>
  <si>
    <t>10.18730/JE73X</t>
  </si>
  <si>
    <t>10.18730/JE74Y</t>
  </si>
  <si>
    <t>10.18730/JE75Z</t>
  </si>
  <si>
    <t>10.18730/JE76*</t>
  </si>
  <si>
    <t>10.18730/JE77~</t>
  </si>
  <si>
    <t>10.18730/JE78$</t>
  </si>
  <si>
    <t>10.18730/JE79=</t>
  </si>
  <si>
    <t>10.18730/JE7AU</t>
  </si>
  <si>
    <t>10.18730/JE7B0</t>
  </si>
  <si>
    <t>10.18730/JE7C1</t>
  </si>
  <si>
    <t>10.18730/JE7D2</t>
  </si>
  <si>
    <t>10.18730/JE7E3</t>
  </si>
  <si>
    <t>10.18730/JE7F4</t>
  </si>
  <si>
    <t>10.18730/JE7G5</t>
  </si>
  <si>
    <t>10.18730/JE7H6</t>
  </si>
  <si>
    <t>10.18730/JE7J7</t>
  </si>
  <si>
    <t>10.18730/JE7K8</t>
  </si>
  <si>
    <t>10.18730/JE7M9</t>
  </si>
  <si>
    <t>10.18730/JE7NA</t>
  </si>
  <si>
    <t>10.18730/JE7PB</t>
  </si>
  <si>
    <t>10.18730/JE7QC</t>
  </si>
  <si>
    <t>10.18730/JE7RD</t>
  </si>
  <si>
    <t>10.18730/JE7SE</t>
  </si>
  <si>
    <t>10.18730/JE7TF</t>
  </si>
  <si>
    <t>10.18730/JE7VG</t>
  </si>
  <si>
    <t>10.18730/JE7WH</t>
  </si>
  <si>
    <t>10.18730/JE7XJ</t>
  </si>
  <si>
    <t>10.18730/JE7YK</t>
  </si>
  <si>
    <t>10.18730/JE7ZM</t>
  </si>
  <si>
    <t>10.18730/JE80N</t>
  </si>
  <si>
    <t>10.18730/JE81P</t>
  </si>
  <si>
    <t>10.18730/JE82Q</t>
  </si>
  <si>
    <t>10.18730/JE83R</t>
  </si>
  <si>
    <t>10.18730/JE84S</t>
  </si>
  <si>
    <t>10.18730/JE85T</t>
  </si>
  <si>
    <t>10.18730/JE86V</t>
  </si>
  <si>
    <t>10.18730/JE87W</t>
  </si>
  <si>
    <t>10.18730/JE88X</t>
  </si>
  <si>
    <t>10.18730/JE89Y</t>
  </si>
  <si>
    <t>10.18730/JE8AZ</t>
  </si>
  <si>
    <t>10.18730/JE8B*</t>
  </si>
  <si>
    <t>10.18730/JE8C~</t>
  </si>
  <si>
    <t>10.18730/JE8D$</t>
  </si>
  <si>
    <t>10.18730/JE8E=</t>
  </si>
  <si>
    <t>10.18730/JE8FU</t>
  </si>
  <si>
    <t>10.18730/JE8G0</t>
  </si>
  <si>
    <t>10.18730/JE8H1</t>
  </si>
  <si>
    <t>10.18730/JE8J2</t>
  </si>
  <si>
    <t>10.18730/JE8K3</t>
  </si>
  <si>
    <t>10.18730/JE8M4</t>
  </si>
  <si>
    <t>10.18730/JE8N5</t>
  </si>
  <si>
    <t>10.18730/JE8P6</t>
  </si>
  <si>
    <t>10.18730/182F6</t>
  </si>
  <si>
    <t>10.18730/17W0N</t>
  </si>
  <si>
    <t>10.18730/17W6V</t>
  </si>
  <si>
    <t>10.18730/17WR8</t>
  </si>
  <si>
    <t>10.18730/17XH~</t>
  </si>
  <si>
    <t>10.18730/18AD1</t>
  </si>
  <si>
    <t>10.18730/188SQ</t>
  </si>
  <si>
    <t>10.18730/17YT0</t>
  </si>
  <si>
    <t>10.18730/17ZCJ</t>
  </si>
  <si>
    <t>10.18730/17ZMT</t>
  </si>
  <si>
    <t>10.18730/180RS</t>
  </si>
  <si>
    <t>10.18730/180VW</t>
  </si>
  <si>
    <t>10.18730/17FM*</t>
  </si>
  <si>
    <t>10.18730/17WD$</t>
  </si>
  <si>
    <t>10.18730/17FCR</t>
  </si>
  <si>
    <t>10.18730/17VZM</t>
  </si>
  <si>
    <t>10.18730/17G07</t>
  </si>
  <si>
    <t>10.18730/17ZV~</t>
  </si>
  <si>
    <t>10.18730/17H35</t>
  </si>
  <si>
    <t>10.18730/18290</t>
  </si>
  <si>
    <t>10.18730/17WFU</t>
  </si>
  <si>
    <t>10.18730/18CT4</t>
  </si>
  <si>
    <t>10.18730/18CW6</t>
  </si>
  <si>
    <t>10.18730/18BT9</t>
  </si>
  <si>
    <t>10.18730/1AGKV</t>
  </si>
  <si>
    <t>10.18730/17VYK</t>
  </si>
  <si>
    <t>10.18730/17YHW</t>
  </si>
  <si>
    <t>10.18730/17ZRY</t>
  </si>
  <si>
    <t>10.18730/18023</t>
  </si>
  <si>
    <t>10.18730/1BSWG</t>
  </si>
  <si>
    <t>10.18730/1AKQG</t>
  </si>
  <si>
    <t>10.18730/1BT0M</t>
  </si>
  <si>
    <t>10.18730/1BVP0</t>
  </si>
  <si>
    <t>10.18730/1BVZ9</t>
  </si>
  <si>
    <t>10.18730/1BWTU</t>
  </si>
  <si>
    <t>10.18730/1BSRC</t>
  </si>
  <si>
    <t>10.18730/1BSTE</t>
  </si>
  <si>
    <t>10.18730/1BTM3</t>
  </si>
  <si>
    <t>10.18730/1BV1G</t>
  </si>
  <si>
    <t>10.18730/1BVY8</t>
  </si>
  <si>
    <t>10.18730/1BWS=</t>
  </si>
  <si>
    <t>10.18730/1CRQ4</t>
  </si>
  <si>
    <t>10.18730/1CRZC</t>
  </si>
  <si>
    <t>10.18730/1CRAW</t>
  </si>
  <si>
    <t>10.18730/1E25=</t>
  </si>
  <si>
    <t>10.18730/1E2C5</t>
  </si>
  <si>
    <t>10.18730/1E49X</t>
  </si>
  <si>
    <t>10.18730/1H1CB</t>
  </si>
  <si>
    <t>10.18730/1E2E7</t>
  </si>
  <si>
    <t>10.18730/1E5V5</t>
  </si>
  <si>
    <t>10.18730/1H176</t>
  </si>
  <si>
    <t>10.18730/1JHV8</t>
  </si>
  <si>
    <t>10.18730/1NSFZ</t>
  </si>
  <si>
    <t>10.18730/1PB33</t>
  </si>
  <si>
    <t>10.18730/10Z7Q</t>
  </si>
  <si>
    <t>10.18730/10ZQ2</t>
  </si>
  <si>
    <t>10.18730/1100B</t>
  </si>
  <si>
    <t>10.18730/182G7</t>
  </si>
  <si>
    <t>10.18730/18DQ~</t>
  </si>
  <si>
    <t>10.18730/1832S</t>
  </si>
  <si>
    <t>10.18730/183B$</t>
  </si>
  <si>
    <t>10.18730/1843N</t>
  </si>
  <si>
    <t>10.18730/184E*</t>
  </si>
  <si>
    <t>10.18730/184K0</t>
  </si>
  <si>
    <t>10.18730/183M6</t>
  </si>
  <si>
    <t>10.18730/182SG</t>
  </si>
  <si>
    <t>10.18730/182TH</t>
  </si>
  <si>
    <t>10.18730/183F1</t>
  </si>
  <si>
    <t>10.18730/184N2</t>
  </si>
  <si>
    <t>10.18730/184AW</t>
  </si>
  <si>
    <t>10.18730/1BT5S</t>
  </si>
  <si>
    <t>10.18730/1BX49</t>
  </si>
  <si>
    <t>10.18730/1CV36</t>
  </si>
  <si>
    <t>10.18730/1E4GU</t>
  </si>
  <si>
    <t>10.18730/1H3PB</t>
  </si>
  <si>
    <t>10.18730/1H154</t>
  </si>
  <si>
    <t>10.18730/1JF2Y</t>
  </si>
  <si>
    <t>10.18730/10YP6</t>
  </si>
  <si>
    <t>10.18730/1107J</t>
  </si>
  <si>
    <t>10.18730/116AW</t>
  </si>
  <si>
    <t>10.18730/116JU</t>
  </si>
  <si>
    <t>10.18730/1AGR*</t>
  </si>
  <si>
    <t>10.18730/1BSA=</t>
  </si>
  <si>
    <t>10.18730/1BSSD</t>
  </si>
  <si>
    <t>10.18730/1DH9D</t>
  </si>
  <si>
    <t>10.18730/10XG5</t>
  </si>
  <si>
    <t>10.18730/185HY</t>
  </si>
  <si>
    <t>10.18730/18714</t>
  </si>
  <si>
    <t>10.18730/18736</t>
  </si>
  <si>
    <t>10.18730/187FJ</t>
  </si>
  <si>
    <t>10.18730/185Y6</t>
  </si>
  <si>
    <t>10.18730/1866E</t>
  </si>
  <si>
    <t>10.18730/186T$</t>
  </si>
  <si>
    <t>10.18730/18BXC</t>
  </si>
  <si>
    <t>10.18730/1864C</t>
  </si>
  <si>
    <t>10.18730/186R*</t>
  </si>
  <si>
    <t>10.18730/186MW</t>
  </si>
  <si>
    <t>10.18730/1AGDN</t>
  </si>
  <si>
    <t>10.18730/1AMPA</t>
  </si>
  <si>
    <t>10.18730/1BS7*</t>
  </si>
  <si>
    <t>10.18730/1BSXH</t>
  </si>
  <si>
    <t>10.18730/1E4YD</t>
  </si>
  <si>
    <t>10.18730/1E5Q1</t>
  </si>
  <si>
    <t>10.18730/1M930</t>
  </si>
  <si>
    <t>10.18730/10XD2</t>
  </si>
  <si>
    <t>10.18730/1102D</t>
  </si>
  <si>
    <t>10.18730/188TR</t>
  </si>
  <si>
    <t>10.18730/189SJ</t>
  </si>
  <si>
    <t>10.18730/1841K</t>
  </si>
  <si>
    <t>10.18730/18992</t>
  </si>
  <si>
    <t>10.18730/188A8</t>
  </si>
  <si>
    <t>10.18730/1BVGZ</t>
  </si>
  <si>
    <t>10.18730/1BW4E</t>
  </si>
  <si>
    <t>10.18730/1CXJB</t>
  </si>
  <si>
    <t>10.18730/1CXKC</t>
  </si>
  <si>
    <t>10.18730/18D4E</t>
  </si>
  <si>
    <t>10.18730/1CWZX</t>
  </si>
  <si>
    <t>10.18730/1CX3~</t>
  </si>
  <si>
    <t>10.18730/1E1DB</t>
  </si>
  <si>
    <t>10.18730/1H46V</t>
  </si>
  <si>
    <t>10.18730/1JHXA</t>
  </si>
  <si>
    <t>10.18730/114VJ</t>
  </si>
  <si>
    <t>10.18730/18D1B</t>
  </si>
  <si>
    <t>10.18730/18A0S</t>
  </si>
  <si>
    <t>10.18730/1AM9$</t>
  </si>
  <si>
    <t>10.18730/18B8W</t>
  </si>
  <si>
    <t>10.18730/18B4R</t>
  </si>
  <si>
    <t>10.18730/18B6T</t>
  </si>
  <si>
    <t>10.18730/18A4X</t>
  </si>
  <si>
    <t>10.18730/18ATE</t>
  </si>
  <si>
    <t>10.18730/18AVF</t>
  </si>
  <si>
    <t>10.18730/17P2G</t>
  </si>
  <si>
    <t>10.18730/17P7N</t>
  </si>
  <si>
    <t>10.18730/17V6*</t>
  </si>
  <si>
    <t>10.18730/17Q4D</t>
  </si>
  <si>
    <t>10.18730/17QCN</t>
  </si>
  <si>
    <t>10.18730/17K6=</t>
  </si>
  <si>
    <t>10.18730/17M0R</t>
  </si>
  <si>
    <t>10.18730/17MWF</t>
  </si>
  <si>
    <t>10.18730/17RFK</t>
  </si>
  <si>
    <t>10.18730/17RGM</t>
  </si>
  <si>
    <t>10.18730/17RHN</t>
  </si>
  <si>
    <t>10.18730/17RMR</t>
  </si>
  <si>
    <t>10.18730/17RNS</t>
  </si>
  <si>
    <t>10.18730/17RPT</t>
  </si>
  <si>
    <t>10.18730/17RQV</t>
  </si>
  <si>
    <t>10.18730/17RVZ</t>
  </si>
  <si>
    <t>10.18730/17N1M</t>
  </si>
  <si>
    <t>10.18730/17JTQ</t>
  </si>
  <si>
    <t>10.18730/17KND</t>
  </si>
  <si>
    <t>10.18730/17PJ*</t>
  </si>
  <si>
    <t>10.18730/17PT3</t>
  </si>
  <si>
    <t>10.18730/17PV4</t>
  </si>
  <si>
    <t>10.18730/17PY7</t>
  </si>
  <si>
    <t>10.18730/17Q1A</t>
  </si>
  <si>
    <t>10.18730/17HKN</t>
  </si>
  <si>
    <t>10.18730/17JGD</t>
  </si>
  <si>
    <t>10.18730/17KC4</t>
  </si>
  <si>
    <t>10.18730/17M9~</t>
  </si>
  <si>
    <t>10.18730/17SWV</t>
  </si>
  <si>
    <t>10.18730/17QPZ</t>
  </si>
  <si>
    <t>10.18730/17QZ3</t>
  </si>
  <si>
    <t>10.18730/17R37</t>
  </si>
  <si>
    <t>10.18730/17JC9</t>
  </si>
  <si>
    <t>10.18730/17JXT</t>
  </si>
  <si>
    <t>10.18730/17KF7</t>
  </si>
  <si>
    <t>10.18730/17KH9</t>
  </si>
  <si>
    <t>10.18730/17MG3</t>
  </si>
  <si>
    <t>10.18730/17RKQ</t>
  </si>
  <si>
    <t>10.18730/17RSX</t>
  </si>
  <si>
    <t>10.18730/17RTY</t>
  </si>
  <si>
    <t>10.18730/17NK1</t>
  </si>
  <si>
    <t>10.18730/18A6Z</t>
  </si>
  <si>
    <t>10.18730/18AYJ</t>
  </si>
  <si>
    <t>10.18730/1AH25</t>
  </si>
  <si>
    <t>10.18730/1AH36</t>
  </si>
  <si>
    <t>10.18730/1AJZX</t>
  </si>
  <si>
    <t>10.18730/1AKF8</t>
  </si>
  <si>
    <t>10.18730/1AKG9</t>
  </si>
  <si>
    <t>10.18730/1AKKC</t>
  </si>
  <si>
    <t>10.18730/1AMH5</t>
  </si>
  <si>
    <t>10.18730/1AMJ6</t>
  </si>
  <si>
    <t>10.18730/1BXCH</t>
  </si>
  <si>
    <t>10.18730/1BSD1</t>
  </si>
  <si>
    <t>10.18730/1BSE2</t>
  </si>
  <si>
    <t>10.18730/1BSK7</t>
  </si>
  <si>
    <t>10.18730/1BSM8</t>
  </si>
  <si>
    <t>10.18730/1BSN9</t>
  </si>
  <si>
    <t>10.18730/1BWR$</t>
  </si>
  <si>
    <t>10.18730/1CVBE</t>
  </si>
  <si>
    <t>10.18730/1CVRV</t>
  </si>
  <si>
    <t>10.18730/1CVVY</t>
  </si>
  <si>
    <t>10.18730/1CWFD</t>
  </si>
  <si>
    <t>10.18730/1CWKH</t>
  </si>
  <si>
    <t>10.18730/1CX92</t>
  </si>
  <si>
    <t>10.18730/1CXA3</t>
  </si>
  <si>
    <t>10.18730/1DJA9</t>
  </si>
  <si>
    <t>10.18730/1CS4H</t>
  </si>
  <si>
    <t>10.18730/1CSCS</t>
  </si>
  <si>
    <t>10.18730/1CSGX</t>
  </si>
  <si>
    <t>10.18730/1CSHY</t>
  </si>
  <si>
    <t>10.18730/1CSN$</t>
  </si>
  <si>
    <t>10.18730/1CSP=</t>
  </si>
  <si>
    <t>10.18730/1CSR0</t>
  </si>
  <si>
    <t>10.18730/1CSS1</t>
  </si>
  <si>
    <t>10.18730/1CSX5</t>
  </si>
  <si>
    <t>10.18730/1CT08</t>
  </si>
  <si>
    <t>10.18730/1CT7F</t>
  </si>
  <si>
    <t>10.18730/1CT9H</t>
  </si>
  <si>
    <t>10.18730/1CTCM</t>
  </si>
  <si>
    <t>10.18730/1CTGR</t>
  </si>
  <si>
    <t>10.18730/1CTHS</t>
  </si>
  <si>
    <t>10.18730/1CWVS</t>
  </si>
  <si>
    <t>10.18730/1DHEJ</t>
  </si>
  <si>
    <t>10.18730/1DHMR</t>
  </si>
  <si>
    <t>10.18730/1DHQV</t>
  </si>
  <si>
    <t>10.18730/1DHSX</t>
  </si>
  <si>
    <t>10.18730/1DHX~</t>
  </si>
  <si>
    <t>10.18730/1DJ43</t>
  </si>
  <si>
    <t>10.18730/1E0HM</t>
  </si>
  <si>
    <t>10.18730/1E0KP</t>
  </si>
  <si>
    <t>10.18730/1E0MQ</t>
  </si>
  <si>
    <t>10.18730/1E0NR</t>
  </si>
  <si>
    <t>10.18730/1E0QT</t>
  </si>
  <si>
    <t>10.18730/1E0TX</t>
  </si>
  <si>
    <t>10.18730/1E0WZ</t>
  </si>
  <si>
    <t>10.18730/1E10=</t>
  </si>
  <si>
    <t>10.18730/1E120</t>
  </si>
  <si>
    <t>10.18730/1E3A=</t>
  </si>
  <si>
    <t>10.18730/1E3D1</t>
  </si>
  <si>
    <t>10.18730/1E3G4</t>
  </si>
  <si>
    <t>10.18730/1E3TE</t>
  </si>
  <si>
    <t>10.18730/1E3WG</t>
  </si>
  <si>
    <t>10.18730/1E40M</t>
  </si>
  <si>
    <t>10.18730/1E41N</t>
  </si>
  <si>
    <t>10.18730/1E42P</t>
  </si>
  <si>
    <t>10.18730/1E43Q</t>
  </si>
  <si>
    <t>10.18730/1E46T</t>
  </si>
  <si>
    <t>10.18730/1E47V</t>
  </si>
  <si>
    <t>10.18730/1H33X</t>
  </si>
  <si>
    <t>10.18730/1H34Y</t>
  </si>
  <si>
    <t>10.18730/1CTR*</t>
  </si>
  <si>
    <t>10.18730/1DH15</t>
  </si>
  <si>
    <t>10.18730/1DJKJ</t>
  </si>
  <si>
    <t>10.18730/1H2TM</t>
  </si>
  <si>
    <t>10.18730/1H30T</t>
  </si>
  <si>
    <t>10.18730/1H31V</t>
  </si>
  <si>
    <t>10.18730/1H32W</t>
  </si>
  <si>
    <t>10.18730/1DJDC</t>
  </si>
  <si>
    <t>10.18730/1E30S</t>
  </si>
  <si>
    <t>10.18730/1HAB2</t>
  </si>
  <si>
    <t>10.18730/1HAD4</t>
  </si>
  <si>
    <t>10.18730/1HAF6</t>
  </si>
  <si>
    <t>10.18730/1HAYN</t>
  </si>
  <si>
    <t>10.18730/1HB0Q</t>
  </si>
  <si>
    <t>10.18730/1HB4V</t>
  </si>
  <si>
    <t>10.18730/1JDAB</t>
  </si>
  <si>
    <t>10.18730/1JE84</t>
  </si>
  <si>
    <t>10.18730/1JED9</t>
  </si>
  <si>
    <t>10.18730/1JF90</t>
  </si>
  <si>
    <t>10.18730/1JFC3</t>
  </si>
  <si>
    <t>10.18730/1JFE5</t>
  </si>
  <si>
    <t>10.18730/1JFTH</t>
  </si>
  <si>
    <t>10.18730/1JFVJ</t>
  </si>
  <si>
    <t>10.18730/1JDGH</t>
  </si>
  <si>
    <t>10.18730/1JDHJ</t>
  </si>
  <si>
    <t>10.18730/1JDJK</t>
  </si>
  <si>
    <t>10.18730/1JGVD</t>
  </si>
  <si>
    <t>10.18730/1JH3N</t>
  </si>
  <si>
    <t>10.18730/1JHBX</t>
  </si>
  <si>
    <t>10.18730/1JHDZ</t>
  </si>
  <si>
    <t>10.18730/1JHG$</t>
  </si>
  <si>
    <t>10.18730/1AHRV</t>
  </si>
  <si>
    <t>10.18730/1AJ97</t>
  </si>
  <si>
    <t>10.18730/1M9HE</t>
  </si>
  <si>
    <t>10.18730/1M9MH</t>
  </si>
  <si>
    <t>10.18730/1AJTR</t>
  </si>
  <si>
    <t>10.18730/1NQRD</t>
  </si>
  <si>
    <t>10.18730/1NR7W</t>
  </si>
  <si>
    <t>10.18730/1AJB9</t>
  </si>
  <si>
    <t>10.18730/1AJCA</t>
  </si>
  <si>
    <t>10.18730/1AJEC</t>
  </si>
  <si>
    <t>10.18730/1AJGE</t>
  </si>
  <si>
    <t>10.18730/1AJJG</t>
  </si>
  <si>
    <t>10.18730/1AJNK</t>
  </si>
  <si>
    <t>10.18730/1AK0Y</t>
  </si>
  <si>
    <t>10.18730/1H1YX</t>
  </si>
  <si>
    <t>10.18730/1H282</t>
  </si>
  <si>
    <t>10.18730/1P5VM</t>
  </si>
  <si>
    <t>10.18730/1PBYY</t>
  </si>
  <si>
    <t>10.18730/1PC0*</t>
  </si>
  <si>
    <t>10.18730/1PC2$</t>
  </si>
  <si>
    <t>10.18730/1PC61</t>
  </si>
  <si>
    <t>10.18730/1PCNG</t>
  </si>
  <si>
    <t>10.18730/1PCTN</t>
  </si>
  <si>
    <t>10.18730/1PCXR</t>
  </si>
  <si>
    <t>10.18730/1PD4Z</t>
  </si>
  <si>
    <t>10.18730/106JB</t>
  </si>
  <si>
    <t>10.18730/106MD</t>
  </si>
  <si>
    <t>10.18730/106NE</t>
  </si>
  <si>
    <t>10.18730/106PF</t>
  </si>
  <si>
    <t>10.18730/106RH</t>
  </si>
  <si>
    <t>10.18730/1P5PF</t>
  </si>
  <si>
    <t>10.18730/1PBFF</t>
  </si>
  <si>
    <t>10.18730/1PBJJ</t>
  </si>
  <si>
    <t>10.18730/1PCB6</t>
  </si>
  <si>
    <t>10.18730/1PCKE</t>
  </si>
  <si>
    <t>10.18730/1PD1W</t>
  </si>
  <si>
    <t>10.18730/1PDH7</t>
  </si>
  <si>
    <t>10.18730/106XP</t>
  </si>
  <si>
    <t>10.18730/1AJQN</t>
  </si>
  <si>
    <t>10.18730/1AJRP</t>
  </si>
  <si>
    <t>10.18730/1H1RQ</t>
  </si>
  <si>
    <t>10.18730/1H24=</t>
  </si>
  <si>
    <t>10.18730/1NRG0</t>
  </si>
  <si>
    <t>10.18730/1NRJ2</t>
  </si>
  <si>
    <t>10.18730/1NRR8</t>
  </si>
  <si>
    <t>10.18730/1P5KC</t>
  </si>
  <si>
    <t>10.18730/1PDB1</t>
  </si>
  <si>
    <t>10.18730/106C5</t>
  </si>
  <si>
    <t>10.18730/106F8</t>
  </si>
  <si>
    <t>10.18730/114WK</t>
  </si>
  <si>
    <t>10.18730/114XM</t>
  </si>
  <si>
    <t>10.18730/17T60</t>
  </si>
  <si>
    <t>10.18730/17S10</t>
  </si>
  <si>
    <t>10.18730/17S21</t>
  </si>
  <si>
    <t>10.18730/17S43</t>
  </si>
  <si>
    <t>10.18730/17S65</t>
  </si>
  <si>
    <t>10.18730/17S98</t>
  </si>
  <si>
    <t>10.18730/17SCB</t>
  </si>
  <si>
    <t>10.18730/17SFE</t>
  </si>
  <si>
    <t>10.18730/17SHG</t>
  </si>
  <si>
    <t>10.18730/17SJH</t>
  </si>
  <si>
    <t>10.18730/17SKJ</t>
  </si>
  <si>
    <t>10.18730/17SMK</t>
  </si>
  <si>
    <t>10.18730/17SNM</t>
  </si>
  <si>
    <t>10.18730/17SPN</t>
  </si>
  <si>
    <t>10.18730/17SRQ</t>
  </si>
  <si>
    <t>10.18730/17STS</t>
  </si>
  <si>
    <t>10.18730/17T1*</t>
  </si>
  <si>
    <t>10.18730/17T3$</t>
  </si>
  <si>
    <t>10.18730/17T5U</t>
  </si>
  <si>
    <t>10.18730/17S54</t>
  </si>
  <si>
    <t>10.18730/17SBA</t>
  </si>
  <si>
    <t>10.18730/17SYX</t>
  </si>
  <si>
    <t>10.18730/17SZY</t>
  </si>
  <si>
    <t>10.18730/17T4=</t>
  </si>
  <si>
    <t>10.18730/1BSVF</t>
  </si>
  <si>
    <t>10.18730/1CVDG</t>
  </si>
  <si>
    <t>10.18730/1CVEH</t>
  </si>
  <si>
    <t>10.18730/1CVHM</t>
  </si>
  <si>
    <t>10.18730/1CXB4</t>
  </si>
  <si>
    <t>10.18730/1E0X*</t>
  </si>
  <si>
    <t>10.18730/1E0Z$</t>
  </si>
  <si>
    <t>10.18730/1E39$</t>
  </si>
  <si>
    <t>10.18730/1E3YJ</t>
  </si>
  <si>
    <t>10.18730/1E4N4</t>
  </si>
  <si>
    <t>10.18730/1AK4$</t>
  </si>
  <si>
    <t>10.18730/1HB2S</t>
  </si>
  <si>
    <t>10.18730/1JFSG</t>
  </si>
  <si>
    <t>10.18730/1JGXF</t>
  </si>
  <si>
    <t>10.18730/1JH6R</t>
  </si>
  <si>
    <t>10.18730/1JH8T</t>
  </si>
  <si>
    <t>10.18730/1M9TQ</t>
  </si>
  <si>
    <t>10.18730/1NQXJ</t>
  </si>
  <si>
    <t>10.18730/1NR2Q</t>
  </si>
  <si>
    <t>10.18730/1NRFU</t>
  </si>
  <si>
    <t>10.18730/1NRK3</t>
  </si>
  <si>
    <t>10.18730/1P5QG</t>
  </si>
  <si>
    <t>10.18730/1PDA0</t>
  </si>
  <si>
    <t>10.18730/17TWP</t>
  </si>
  <si>
    <t>10.18730/17TB5</t>
  </si>
  <si>
    <t>10.18730/17TC6</t>
  </si>
  <si>
    <t>10.18730/17TD7</t>
  </si>
  <si>
    <t>10.18730/17TF9</t>
  </si>
  <si>
    <t>10.18730/17TQH</t>
  </si>
  <si>
    <t>10.18730/17TRJ</t>
  </si>
  <si>
    <t>10.18730/17TSK</t>
  </si>
  <si>
    <t>10.18730/17TGA</t>
  </si>
  <si>
    <t>10.18730/17THB</t>
  </si>
  <si>
    <t>10.18730/17TVN</t>
  </si>
  <si>
    <t>10.18730/18E5A</t>
  </si>
  <si>
    <t>10.18730/17V8$</t>
  </si>
  <si>
    <t>10.18730/18DKX</t>
  </si>
  <si>
    <t>10.18730/17T82</t>
  </si>
  <si>
    <t>10.18730/17T93</t>
  </si>
  <si>
    <t>10.18730/18DJW</t>
  </si>
  <si>
    <t>10.18730/18DMY</t>
  </si>
  <si>
    <t>10.18730/1AK6U</t>
  </si>
  <si>
    <t>10.18730/1CVCF</t>
  </si>
  <si>
    <t>10.18730/1CVSW</t>
  </si>
  <si>
    <t>10.18730/1CWB9</t>
  </si>
  <si>
    <t>10.18730/1CWGE</t>
  </si>
  <si>
    <t>10.18730/1CWHF</t>
  </si>
  <si>
    <t>10.18730/1CWSQ</t>
  </si>
  <si>
    <t>10.18730/1CWDB</t>
  </si>
  <si>
    <t>10.18730/1CWEC</t>
  </si>
  <si>
    <t>10.18730/1DHCG</t>
  </si>
  <si>
    <t>10.18730/1H2F9</t>
  </si>
  <si>
    <t>10.18730/1H2GA</t>
  </si>
  <si>
    <t>10.18730/1H2NF</t>
  </si>
  <si>
    <t>10.18730/1H2PG</t>
  </si>
  <si>
    <t>10.18730/1H2ZS</t>
  </si>
  <si>
    <t>10.18730/1H1XW</t>
  </si>
  <si>
    <t>10.18730/1H1ZY</t>
  </si>
  <si>
    <t>10.18730/1H25U</t>
  </si>
  <si>
    <t>10.18730/1HAJ9</t>
  </si>
  <si>
    <t>10.18730/1HAXM</t>
  </si>
  <si>
    <t>10.18730/1H2HB</t>
  </si>
  <si>
    <t>10.18730/1JG1R</t>
  </si>
  <si>
    <t>10.18730/1E4P5</t>
  </si>
  <si>
    <t>10.18730/1JH4P</t>
  </si>
  <si>
    <t>10.18730/1AJPM</t>
  </si>
  <si>
    <t>10.18730/1AJDB</t>
  </si>
  <si>
    <t>10.18730/1NRN5</t>
  </si>
  <si>
    <t>10.18730/1NRS9</t>
  </si>
  <si>
    <t>10.18730/1NRTA</t>
  </si>
  <si>
    <t>10.18730/106KC</t>
  </si>
  <si>
    <t>10.18730/1PDE4</t>
  </si>
  <si>
    <t>10.18730/1PDG6</t>
  </si>
  <si>
    <t>10.18730/1DHZ=</t>
  </si>
  <si>
    <t>10.18730/1DJ21</t>
  </si>
  <si>
    <t>10.18730/1DJ54</t>
  </si>
  <si>
    <t>10.18730/1DJ65</t>
  </si>
  <si>
    <t>10.18730/1DJ76</t>
  </si>
  <si>
    <t>10.18730/1DHPT</t>
  </si>
  <si>
    <t>10.18730/1DHRW</t>
  </si>
  <si>
    <t>10.18730/1DHVZ</t>
  </si>
  <si>
    <t>10.18730/1DJ10</t>
  </si>
  <si>
    <t>10.18730/1DJ32</t>
  </si>
  <si>
    <t>10.18730/18BC*</t>
  </si>
  <si>
    <t>10.18730/1E0RV</t>
  </si>
  <si>
    <t>10.18730/18AZK</t>
  </si>
  <si>
    <t>10.18730/1E3F3</t>
  </si>
  <si>
    <t>10.18730/18DGT</t>
  </si>
  <si>
    <t>10.18730/17V7~</t>
  </si>
  <si>
    <t>10.18730/1BWDQ</t>
  </si>
  <si>
    <t>10.18730/1JDPQ</t>
  </si>
  <si>
    <t>10.18730/1DH7B</t>
  </si>
  <si>
    <t>10.18730/1E1FD</t>
  </si>
  <si>
    <t>10.18730/1NRP6</t>
  </si>
  <si>
    <t>10.18730/1DHFK</t>
  </si>
  <si>
    <t>10.18730/1JF6$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</si>
</sst>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indexed="81"/>
      <name val="Calibri"/>
      <family val="2"/>
      <scheme val="minor"/>
    </font>
    <font>
      <b/>
      <i/>
      <sz val="10"/>
      <color indexed="8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2" fillId="0" borderId="0" xfId="0" quotePrefix="1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0" borderId="0" xfId="1" applyFont="1" applyFill="1" applyBorder="1" applyAlignment="1">
      <alignment vertical="center"/>
    </xf>
    <xf numFmtId="0" fontId="1" fillId="2" borderId="3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3" fillId="0" borderId="0" xfId="0" applyFont="1" applyFill="1" applyBorder="1"/>
    <xf numFmtId="0" fontId="5" fillId="2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9" fontId="12" fillId="0" borderId="0" xfId="0" quotePrefix="1" applyNumberFormat="1" applyFont="1" applyFill="1" applyBorder="1" applyAlignment="1">
      <alignment vertical="center"/>
    </xf>
    <xf numFmtId="0" fontId="2" fillId="0" borderId="0" xfId="0" quotePrefix="1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quotePrefix="1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/>
    </xf>
    <xf numFmtId="0" fontId="6" fillId="0" borderId="0" xfId="1"/>
    <xf numFmtId="0" fontId="6" fillId="0" borderId="0" xfId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0" fillId="0" borderId="0" xfId="0" applyFill="1"/>
    <xf numFmtId="0" fontId="1" fillId="2" borderId="0" xfId="0" applyFont="1" applyFill="1" applyBorder="1" applyAlignment="1" applyProtection="1">
      <alignment horizontal="left" wrapText="1"/>
      <protection locked="0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50"/>
  <sheetViews>
    <sheetView tabSelected="1"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429" sqref="N429"/>
    </sheetView>
  </sheetViews>
  <sheetFormatPr defaultRowHeight="15" x14ac:dyDescent="0.25"/>
  <cols>
    <col min="3" max="3" width="9.42578125" customWidth="1"/>
    <col min="9" max="9" width="11.7109375" customWidth="1"/>
    <col min="11" max="11" width="49" customWidth="1"/>
    <col min="12" max="12" width="18.28515625" customWidth="1"/>
    <col min="13" max="13" width="13.42578125" customWidth="1"/>
    <col min="14" max="14" width="16.7109375" style="37" bestFit="1" customWidth="1"/>
  </cols>
  <sheetData>
    <row r="1" spans="1:14" ht="26.25" x14ac:dyDescent="0.25">
      <c r="A1" s="10" t="s">
        <v>140</v>
      </c>
      <c r="B1" s="7" t="s">
        <v>590</v>
      </c>
      <c r="C1" s="8" t="s">
        <v>592</v>
      </c>
      <c r="D1" s="11" t="s">
        <v>595</v>
      </c>
      <c r="E1" s="11" t="s">
        <v>589</v>
      </c>
      <c r="F1" s="14" t="s">
        <v>672</v>
      </c>
      <c r="G1" s="14" t="s">
        <v>639</v>
      </c>
      <c r="H1" s="14" t="s">
        <v>584</v>
      </c>
      <c r="I1" s="12" t="s">
        <v>585</v>
      </c>
      <c r="J1" s="16" t="s">
        <v>586</v>
      </c>
      <c r="K1" s="8" t="s">
        <v>598</v>
      </c>
      <c r="L1" s="8" t="s">
        <v>593</v>
      </c>
      <c r="M1" s="8" t="s">
        <v>594</v>
      </c>
      <c r="N1" s="36" t="s">
        <v>1897</v>
      </c>
    </row>
    <row r="2" spans="1:14" x14ac:dyDescent="0.25">
      <c r="A2" s="6" t="s">
        <v>141</v>
      </c>
      <c r="B2" s="2" t="s">
        <v>591</v>
      </c>
      <c r="C2" s="2">
        <v>2016</v>
      </c>
      <c r="D2" s="32" t="str">
        <f>HYPERLINK("http://cgn.websites.wur.nl/website/pictures/Special_collection_CGNSC002/Juveniles/TKI 001 (2016-05-02).JPG","Yes")</f>
        <v>Yes</v>
      </c>
      <c r="E2" s="34" t="str">
        <f>HYPERLINK("http://cgn.websites.wur.nl/website/pictures/Special_collection_CGNSC002/Adults/TKI 001 (2016-05-26).JPG","Yes")</f>
        <v>Yes</v>
      </c>
      <c r="F2" s="33" t="str">
        <f>HYPERLINK("http://cgn.websites.wur.nl/website/pictures/Special_collection_CGNSC002/Flowers/TKI 001 (2016-07-28).JPG","Yes")</f>
        <v>Yes</v>
      </c>
      <c r="G2" s="33" t="str">
        <f>HYPERLINK("http://cgn.websites.wur.nl/website/pictures/Special_collection_CGNSC002/Seeds/TKI 001 (2016-11-21).JPG","Yes")</f>
        <v>Yes</v>
      </c>
      <c r="H2" s="1" t="s">
        <v>587</v>
      </c>
      <c r="I2" s="2"/>
      <c r="J2" s="15">
        <v>123</v>
      </c>
      <c r="K2" s="2"/>
      <c r="L2" s="2" t="s">
        <v>1877</v>
      </c>
      <c r="M2" s="2"/>
      <c r="N2" s="37" t="s">
        <v>1898</v>
      </c>
    </row>
    <row r="3" spans="1:14" x14ac:dyDescent="0.25">
      <c r="A3" s="6" t="s">
        <v>142</v>
      </c>
      <c r="B3" s="2" t="s">
        <v>591</v>
      </c>
      <c r="C3" s="2">
        <v>2016</v>
      </c>
      <c r="D3" s="32" t="str">
        <f>HYPERLINK("http://cgn.websites.wur.nl/website/pictures/Special_collection_CGNSC002/Juveniles/TKI 002 (2016-05-02).JPG","Yes")</f>
        <v>Yes</v>
      </c>
      <c r="E3" s="34" t="str">
        <f>HYPERLINK("http://cgn.websites.wur.nl/website/pictures/Special_collection_CGNSC002/Adults/TKI 002 (2016-05-26).JPG","Yes")</f>
        <v>Yes</v>
      </c>
      <c r="F3" s="33" t="str">
        <f>HYPERLINK("http://cgn.websites.wur.nl/website/pictures/Special_collection_CGNSC002/Flowers/TKI 002 (2016-07-21).JPG","Yes")</f>
        <v>Yes</v>
      </c>
      <c r="G3" s="33" t="str">
        <f>HYPERLINK("http://cgn.websites.wur.nl/website/pictures/Special_collection_CGNSC002/Seeds/TKI 002 (2016-11-21).JPG","Yes")</f>
        <v>Yes</v>
      </c>
      <c r="H3" s="1" t="s">
        <v>588</v>
      </c>
      <c r="I3" s="2"/>
      <c r="J3" s="15">
        <v>116</v>
      </c>
      <c r="K3" s="2"/>
      <c r="L3" s="2" t="s">
        <v>1877</v>
      </c>
      <c r="M3" s="2"/>
      <c r="N3" s="37" t="s">
        <v>1899</v>
      </c>
    </row>
    <row r="4" spans="1:14" x14ac:dyDescent="0.25">
      <c r="A4" s="6" t="s">
        <v>143</v>
      </c>
      <c r="B4" s="2" t="s">
        <v>591</v>
      </c>
      <c r="C4" s="2">
        <v>2016</v>
      </c>
      <c r="D4" s="32" t="str">
        <f>HYPERLINK("http://cgn.websites.wur.nl/website/pictures/Special_collection_CGNSC002/Juveniles/TKI 003 (2016-05-02).JPG","Yes")</f>
        <v>Yes</v>
      </c>
      <c r="E4" s="34" t="str">
        <f>HYPERLINK("http://cgn.websites.wur.nl/website/pictures/Special_collection_CGNSC002/Adults/TKI 003 (2016-05-26).JPG","Yes")</f>
        <v>Yes</v>
      </c>
      <c r="F4" s="33" t="str">
        <f>HYPERLINK("http://cgn.websites.wur.nl/website/pictures/Special_collection_CGNSC002/Flowers/TKI 003 (2016-07-04).JPG","Yes")</f>
        <v>Yes</v>
      </c>
      <c r="G4" s="33" t="str">
        <f>HYPERLINK("http://cgn.websites.wur.nl/website/pictures/Special_collection_CGNSC002/Seeds/TKI 003 (2016-11-21).JPG","Yes")</f>
        <v>Yes</v>
      </c>
      <c r="H4" s="1" t="s">
        <v>587</v>
      </c>
      <c r="I4" s="2"/>
      <c r="J4" s="15">
        <v>95</v>
      </c>
      <c r="K4" s="2"/>
      <c r="L4" s="2" t="s">
        <v>1877</v>
      </c>
      <c r="M4" s="2"/>
      <c r="N4" s="37" t="s">
        <v>1900</v>
      </c>
    </row>
    <row r="5" spans="1:14" x14ac:dyDescent="0.25">
      <c r="A5" s="6" t="s">
        <v>144</v>
      </c>
      <c r="B5" s="2" t="s">
        <v>591</v>
      </c>
      <c r="C5" s="2">
        <v>2016</v>
      </c>
      <c r="D5" s="32" t="str">
        <f>HYPERLINK("http://cgn.websites.wur.nl/website/pictures/Special_collection_CGNSC002/Juveniles/TKI 004 (2016-05-02).JPG","Yes")</f>
        <v>Yes</v>
      </c>
      <c r="E5" s="34" t="str">
        <f>HYPERLINK("http://cgn.websites.wur.nl/website/pictures/Special_collection_CGNSC002/Adults/TKI 004 (2016-05-26).JPG","Yes")</f>
        <v>Yes</v>
      </c>
      <c r="F5" s="33" t="str">
        <f>HYPERLINK("http://cgn.websites.wur.nl/website/pictures/Special_collection_CGNSC002/Flowers/TKI 004 (2016-07-21).JPG","Yes")</f>
        <v>Yes</v>
      </c>
      <c r="G5" s="33" t="str">
        <f>HYPERLINK("http://cgn.websites.wur.nl/website/pictures/Special_collection_CGNSC002/Seeds/TKI 004 (2016-11-21).JPG","Yes")</f>
        <v>Yes</v>
      </c>
      <c r="H5" s="1" t="s">
        <v>587</v>
      </c>
      <c r="I5" s="2"/>
      <c r="J5" s="15">
        <v>116</v>
      </c>
      <c r="K5" s="2"/>
      <c r="L5" s="2" t="s">
        <v>1877</v>
      </c>
      <c r="M5" s="2"/>
      <c r="N5" s="37" t="s">
        <v>1901</v>
      </c>
    </row>
    <row r="6" spans="1:14" x14ac:dyDescent="0.25">
      <c r="A6" s="6" t="s">
        <v>145</v>
      </c>
      <c r="B6" s="2" t="s">
        <v>591</v>
      </c>
      <c r="C6" s="2">
        <v>2016</v>
      </c>
      <c r="D6" s="32" t="str">
        <f>HYPERLINK("http://cgn.websites.wur.nl/website/pictures/Special_collection_CGNSC002/Juveniles/TKI 006 (2016-05-02).JPG","Yes")</f>
        <v>Yes</v>
      </c>
      <c r="E6" s="34" t="str">
        <f>HYPERLINK("http://cgn.websites.wur.nl/website/pictures/Special_collection_CGNSC002/Adults/TKI 006 (2016-05-26).JPG","Yes")</f>
        <v>Yes</v>
      </c>
      <c r="F6" s="33" t="str">
        <f>HYPERLINK("http://cgn.websites.wur.nl/website/pictures/Special_collection_CGNSC002/Flowers/TKI 006 (2016-07-14).JPG","Yes")</f>
        <v>Yes</v>
      </c>
      <c r="G6" s="33" t="str">
        <f>HYPERLINK("http://cgn.websites.wur.nl/website/pictures/Special_collection_CGNSC002/Seeds/TKI 006 (2016-11-21).JPG","Yes")</f>
        <v>Yes</v>
      </c>
      <c r="H6" s="1" t="s">
        <v>587</v>
      </c>
      <c r="I6" s="2"/>
      <c r="J6" s="15">
        <v>111</v>
      </c>
      <c r="K6" s="2"/>
      <c r="L6" s="2" t="s">
        <v>1876</v>
      </c>
      <c r="M6" s="2" t="s">
        <v>1875</v>
      </c>
      <c r="N6" s="37" t="s">
        <v>1902</v>
      </c>
    </row>
    <row r="7" spans="1:14" x14ac:dyDescent="0.25">
      <c r="A7" s="6" t="s">
        <v>146</v>
      </c>
      <c r="B7" s="2" t="s">
        <v>591</v>
      </c>
      <c r="C7" s="2">
        <v>2016</v>
      </c>
      <c r="D7" s="32" t="str">
        <f>HYPERLINK("http://cgn.websites.wur.nl/website/pictures/Special_collection_CGNSC002/Juveniles/TKI 007 (2016-05-02).JPG","Yes")</f>
        <v>Yes</v>
      </c>
      <c r="E7" s="34" t="str">
        <f>HYPERLINK("http://cgn.websites.wur.nl/website/pictures/Special_collection_CGNSC002/Adults/TKI 007 (2016-05-26).JPG","Yes")</f>
        <v>Yes</v>
      </c>
      <c r="F7" s="33" t="str">
        <f>HYPERLINK("http://cgn.websites.wur.nl/website/pictures/Special_collection_CGNSC002/Flowers/TKI 007 (2016-07-04).JPG","Yes")</f>
        <v>Yes</v>
      </c>
      <c r="G7" s="33" t="str">
        <f>HYPERLINK("http://cgn.websites.wur.nl/website/pictures/Special_collection_CGNSC002/Seeds/TKI 007 (2016-11-21).JPG","Yes")</f>
        <v>Yes</v>
      </c>
      <c r="H7" s="1" t="s">
        <v>587</v>
      </c>
      <c r="I7" s="2"/>
      <c r="J7" s="15">
        <v>95</v>
      </c>
      <c r="K7" s="2"/>
      <c r="L7" s="2" t="s">
        <v>1877</v>
      </c>
      <c r="M7" s="2"/>
      <c r="N7" s="37" t="s">
        <v>1903</v>
      </c>
    </row>
    <row r="8" spans="1:14" x14ac:dyDescent="0.25">
      <c r="A8" s="6" t="s">
        <v>147</v>
      </c>
      <c r="B8" s="2" t="s">
        <v>591</v>
      </c>
      <c r="C8" s="2">
        <v>2016</v>
      </c>
      <c r="D8" s="32" t="str">
        <f>HYPERLINK("http://cgn.websites.wur.nl/website/pictures/Special_collection_CGNSC002/Juveniles/TKI 008 (2016-05-02).JPG","Yes")</f>
        <v>Yes</v>
      </c>
      <c r="E8" s="34" t="str">
        <f>HYPERLINK("http://cgn.websites.wur.nl/website/pictures/Special_collection_CGNSC002/Adults/TKI 008 (2016-05-26).JPG","Yes")</f>
        <v>Yes</v>
      </c>
      <c r="F8" s="33" t="str">
        <f>HYPERLINK("http://cgn.websites.wur.nl/website/pictures/Special_collection_CGNSC002/Flowers/TKI 008 (2016-07-11).JPG","Yes")</f>
        <v>Yes</v>
      </c>
      <c r="G8" s="33" t="str">
        <f>HYPERLINK("http://cgn.websites.wur.nl/website/pictures/Special_collection_CGNSC002/Seeds/TKI 008 (2016-11-21).JPG","Yes")</f>
        <v>Yes</v>
      </c>
      <c r="H8" s="1" t="s">
        <v>587</v>
      </c>
      <c r="I8" s="2"/>
      <c r="J8" s="15">
        <v>102</v>
      </c>
      <c r="K8" s="2"/>
      <c r="L8" s="2" t="s">
        <v>1877</v>
      </c>
      <c r="M8" s="2"/>
      <c r="N8" s="37" t="s">
        <v>1904</v>
      </c>
    </row>
    <row r="9" spans="1:14" x14ac:dyDescent="0.25">
      <c r="A9" s="6" t="s">
        <v>148</v>
      </c>
      <c r="B9" s="2" t="s">
        <v>591</v>
      </c>
      <c r="C9" s="2">
        <v>2016</v>
      </c>
      <c r="D9" s="32" t="str">
        <f>HYPERLINK("http://cgn.websites.wur.nl/website/pictures/Special_collection_CGNSC002/Juveniles/TKI 009 (2016-05-02).JPG","Yes")</f>
        <v>Yes</v>
      </c>
      <c r="E9" s="34" t="str">
        <f>HYPERLINK("http://cgn.websites.wur.nl/website/pictures/Special_collection_CGNSC002/Adults/TKI 009 (2016-05-26).JPG","Yes")</f>
        <v>Yes</v>
      </c>
      <c r="F9" s="33" t="str">
        <f>HYPERLINK("http://cgn.websites.wur.nl/website/pictures/Special_collection_CGNSC002/Flowers/TKI 009 (2016-08-08).JPG","Yes")</f>
        <v>Yes</v>
      </c>
      <c r="G9" s="33" t="str">
        <f>HYPERLINK("http://cgn.websites.wur.nl/website/pictures/Special_collection_CGNSC002/Seeds/TKI 009 (2016-11-21).JPG","Yes")</f>
        <v>Yes</v>
      </c>
      <c r="H9" s="1" t="s">
        <v>587</v>
      </c>
      <c r="I9" s="2"/>
      <c r="J9" s="15">
        <v>130</v>
      </c>
      <c r="K9" s="2"/>
      <c r="L9" s="2" t="s">
        <v>1877</v>
      </c>
      <c r="M9" s="2"/>
      <c r="N9" s="37" t="s">
        <v>1905</v>
      </c>
    </row>
    <row r="10" spans="1:14" x14ac:dyDescent="0.25">
      <c r="A10" s="6" t="s">
        <v>149</v>
      </c>
      <c r="B10" s="2" t="s">
        <v>591</v>
      </c>
      <c r="C10" s="2">
        <v>2016</v>
      </c>
      <c r="D10" s="32" t="str">
        <f>HYPERLINK("http://cgn.websites.wur.nl/website/pictures/Special_collection_CGNSC002/Juveniles/TKI 011 (2016-05-02).JPG","Yes")</f>
        <v>Yes</v>
      </c>
      <c r="E10" s="34" t="str">
        <f>HYPERLINK("http://cgn.websites.wur.nl/website/pictures/Special_collection_CGNSC002/Adults/TKI 011 (2016-05-26).JPG","Yes")</f>
        <v>Yes</v>
      </c>
      <c r="F10" s="33" t="str">
        <f>HYPERLINK("http://cgn.websites.wur.nl/website/pictures/Special_collection_CGNSC002/Flowers/TKI 011 (2016-07-11).JPG","Yes")</f>
        <v>Yes</v>
      </c>
      <c r="G10" s="33" t="str">
        <f>HYPERLINK("http://cgn.websites.wur.nl/website/pictures/Special_collection_CGNSC002/Seeds/TKI 011 (2016-11-21).JPG","Yes")</f>
        <v>Yes</v>
      </c>
      <c r="H10" s="1" t="s">
        <v>587</v>
      </c>
      <c r="I10" s="2"/>
      <c r="J10" s="15">
        <v>102</v>
      </c>
      <c r="K10" s="2"/>
      <c r="L10" s="2" t="s">
        <v>1877</v>
      </c>
      <c r="M10" s="2" t="s">
        <v>1875</v>
      </c>
      <c r="N10" s="37" t="s">
        <v>1906</v>
      </c>
    </row>
    <row r="11" spans="1:14" x14ac:dyDescent="0.25">
      <c r="A11" s="6" t="s">
        <v>150</v>
      </c>
      <c r="B11" s="2" t="s">
        <v>591</v>
      </c>
      <c r="C11" s="2">
        <v>2016</v>
      </c>
      <c r="D11" s="32" t="str">
        <f>HYPERLINK("http://cgn.websites.wur.nl/website/pictures/Special_collection_CGNSC002/Juveniles/TKI 013 (2016-05-02).JPG","Yes")</f>
        <v>Yes</v>
      </c>
      <c r="E11" s="34" t="str">
        <f>HYPERLINK("http://cgn.websites.wur.nl/website/pictures/Special_collection_CGNSC002/Adults/TKI 013 (2016-05-26).JPG","Yes")</f>
        <v>Yes</v>
      </c>
      <c r="F11" s="33" t="str">
        <f>HYPERLINK("http://cgn.websites.wur.nl/website/pictures/Special_collection_CGNSC002/Flowers/TKI 013 (2016-06-27).JPG","Yes")</f>
        <v>Yes</v>
      </c>
      <c r="G11" s="33" t="str">
        <f>HYPERLINK("http://cgn.websites.wur.nl/website/pictures/Special_collection_CGNSC002/Seeds/TKI 013 (2016-11-21).JPG","Yes")</f>
        <v>Yes</v>
      </c>
      <c r="H11" s="1" t="s">
        <v>588</v>
      </c>
      <c r="I11" s="2"/>
      <c r="J11" s="15">
        <v>88</v>
      </c>
      <c r="K11" s="2"/>
      <c r="L11" s="2" t="s">
        <v>1877</v>
      </c>
      <c r="M11" s="2"/>
      <c r="N11" s="37" t="s">
        <v>1907</v>
      </c>
    </row>
    <row r="12" spans="1:14" x14ac:dyDescent="0.25">
      <c r="A12" s="6" t="s">
        <v>151</v>
      </c>
      <c r="B12" s="2" t="s">
        <v>591</v>
      </c>
      <c r="C12" s="2">
        <v>2016</v>
      </c>
      <c r="D12" s="32" t="str">
        <f>HYPERLINK("http://cgn.websites.wur.nl/website/pictures/Special_collection_CGNSC002/Juveniles/TKI 014 (2016-05-02).JPG","Yes")</f>
        <v>Yes</v>
      </c>
      <c r="E12" s="34" t="str">
        <f>HYPERLINK("http://cgn.websites.wur.nl/website/pictures/Special_collection_CGNSC002/Adults/TKI 014 (2016-05-26).JPG","Yes")</f>
        <v>Yes</v>
      </c>
      <c r="F12" s="33" t="str">
        <f>HYPERLINK("http://cgn.websites.wur.nl/website/pictures/Special_collection_CGNSC002/Flowers/TKI 014 (2016-07-18).JPG","Yes")</f>
        <v>Yes</v>
      </c>
      <c r="G12" s="33" t="str">
        <f>HYPERLINK("http://cgn.websites.wur.nl/website/pictures/Special_collection_CGNSC002/Seeds/TKI 014 (2016-11-21).JPG","Yes")</f>
        <v>Yes</v>
      </c>
      <c r="H12" s="1" t="s">
        <v>587</v>
      </c>
      <c r="I12" s="2"/>
      <c r="J12" s="15">
        <v>111</v>
      </c>
      <c r="K12" s="2"/>
      <c r="L12" s="2" t="s">
        <v>1877</v>
      </c>
      <c r="M12" s="2"/>
      <c r="N12" s="37" t="s">
        <v>1908</v>
      </c>
    </row>
    <row r="13" spans="1:14" x14ac:dyDescent="0.25">
      <c r="A13" s="6" t="s">
        <v>152</v>
      </c>
      <c r="B13" s="2" t="s">
        <v>591</v>
      </c>
      <c r="C13" s="2">
        <v>2016</v>
      </c>
      <c r="D13" s="32" t="str">
        <f>HYPERLINK("http://cgn.websites.wur.nl/website/pictures/Special_collection_CGNSC002/Juveniles/TKI 016 (2016-05-02).JPG","Yes")</f>
        <v>Yes</v>
      </c>
      <c r="E13" s="34" t="str">
        <f>HYPERLINK("http://cgn.websites.wur.nl/website/pictures/Special_collection_CGNSC002/Adults/TKI 016 (2016-05-26).JPG","Yes")</f>
        <v>Yes</v>
      </c>
      <c r="F13" s="33" t="str">
        <f>HYPERLINK("http://cgn.websites.wur.nl/website/pictures/Special_collection_CGNSC002/Flowers/TKI 016 (2016-08-08).JPG","Yes")</f>
        <v>Yes</v>
      </c>
      <c r="G13" s="33" t="str">
        <f>HYPERLINK("http://cgn.websites.wur.nl/website/pictures/Special_collection_CGNSC002/Seeds/TKI 016 (2016-11-21).JPG","Yes")</f>
        <v>Yes</v>
      </c>
      <c r="H13" s="1" t="s">
        <v>588</v>
      </c>
      <c r="I13" s="2"/>
      <c r="J13" s="15">
        <v>137</v>
      </c>
      <c r="K13" s="2"/>
      <c r="L13" s="2" t="s">
        <v>1877</v>
      </c>
      <c r="M13" s="2" t="s">
        <v>1875</v>
      </c>
      <c r="N13" s="37" t="s">
        <v>1909</v>
      </c>
    </row>
    <row r="14" spans="1:14" x14ac:dyDescent="0.25">
      <c r="A14" s="6" t="s">
        <v>153</v>
      </c>
      <c r="B14" s="2" t="s">
        <v>591</v>
      </c>
      <c r="C14" s="2">
        <v>2016</v>
      </c>
      <c r="D14" s="32" t="str">
        <f>HYPERLINK("http://cgn.websites.wur.nl/website/pictures/Special_collection_CGNSC002/Juveniles/TKI 017 (2016-05-02).JPG","Yes")</f>
        <v>Yes</v>
      </c>
      <c r="E14" s="34" t="str">
        <f>HYPERLINK("http://cgn.websites.wur.nl/website/pictures/Special_collection_CGNSC002/Adults/TKI 017 (2016-05-26).JPG","Yes")</f>
        <v>Yes</v>
      </c>
      <c r="F14" s="33" t="str">
        <f>HYPERLINK("http://cgn.websites.wur.nl/website/pictures/Special_collection_CGNSC002/Flowers/TKI 017 (2016-07-28).JPG","Yes")</f>
        <v>Yes</v>
      </c>
      <c r="G14" s="33" t="str">
        <f>HYPERLINK("http://cgn.websites.wur.nl/website/pictures/Special_collection_CGNSC002/Seeds/TKI 017 (2016-11-21).JPG","Yes")</f>
        <v>Yes</v>
      </c>
      <c r="H14" s="1" t="s">
        <v>587</v>
      </c>
      <c r="I14" s="2"/>
      <c r="J14" s="15">
        <v>130</v>
      </c>
      <c r="K14" s="2"/>
      <c r="L14" s="2" t="s">
        <v>1877</v>
      </c>
      <c r="M14" s="2"/>
      <c r="N14" s="37" t="s">
        <v>1910</v>
      </c>
    </row>
    <row r="15" spans="1:14" x14ac:dyDescent="0.25">
      <c r="A15" s="6" t="s">
        <v>154</v>
      </c>
      <c r="B15" s="2" t="s">
        <v>591</v>
      </c>
      <c r="C15" s="2">
        <v>2016</v>
      </c>
      <c r="D15" s="32" t="str">
        <f>HYPERLINK("http://cgn.websites.wur.nl/website/pictures/Special_collection_CGNSC002/Juveniles/TKI 019 (2016-05-02).JPG","Yes")</f>
        <v>Yes</v>
      </c>
      <c r="E15" s="34" t="str">
        <f>HYPERLINK("http://cgn.websites.wur.nl/website/pictures/Special_collection_CGNSC002/Adults/TKI 019 (2016-05-26).JPG","Yes")</f>
        <v>Yes</v>
      </c>
      <c r="F15" s="33" t="str">
        <f>HYPERLINK("http://cgn.websites.wur.nl/website/pictures/Special_collection_CGNSC002/Flowers/TKI 019 (2016-07-21).JPG","Yes")</f>
        <v>Yes</v>
      </c>
      <c r="G15" s="33" t="str">
        <f>HYPERLINK("http://cgn.websites.wur.nl/website/pictures/Special_collection_CGNSC002/Seeds/TKI 019 (2016-11-21).JPG","Yes")</f>
        <v>Yes</v>
      </c>
      <c r="H15" s="1" t="s">
        <v>587</v>
      </c>
      <c r="I15" s="2"/>
      <c r="J15" s="15">
        <v>111</v>
      </c>
      <c r="K15" s="2"/>
      <c r="L15" s="2" t="s">
        <v>1876</v>
      </c>
      <c r="M15" s="2" t="s">
        <v>1875</v>
      </c>
      <c r="N15" s="37" t="s">
        <v>1911</v>
      </c>
    </row>
    <row r="16" spans="1:14" x14ac:dyDescent="0.25">
      <c r="A16" s="6" t="s">
        <v>155</v>
      </c>
      <c r="B16" s="2" t="s">
        <v>591</v>
      </c>
      <c r="C16" s="2">
        <v>2016</v>
      </c>
      <c r="D16" s="32" t="str">
        <f>HYPERLINK("http://cgn.websites.wur.nl/website/pictures/Special_collection_CGNSC002/Juveniles/TKI 020 (2016-05-02).JPG","Yes")</f>
        <v>Yes</v>
      </c>
      <c r="E16" s="34" t="str">
        <f>HYPERLINK("http://cgn.websites.wur.nl/website/pictures/Special_collection_CGNSC002/Adults/TKI 020 (2016-05-26).JPG","Yes")</f>
        <v>Yes</v>
      </c>
      <c r="F16" s="33" t="str">
        <f>HYPERLINK("http://cgn.websites.wur.nl/website/pictures/Special_collection_CGNSC002/Flowers/TKI 020 (2016-07-14).JPG","Yes")</f>
        <v>Yes</v>
      </c>
      <c r="G16" s="33" t="str">
        <f>HYPERLINK("http://cgn.websites.wur.nl/website/pictures/Special_collection_CGNSC002/Seeds/TKI 020 (2016-11-21).JPG","Yes")</f>
        <v>Yes</v>
      </c>
      <c r="H16" s="1" t="s">
        <v>587</v>
      </c>
      <c r="I16" s="2"/>
      <c r="J16" s="15">
        <v>111</v>
      </c>
      <c r="K16" s="2"/>
      <c r="L16" s="2" t="s">
        <v>1877</v>
      </c>
      <c r="M16" s="2" t="s">
        <v>1875</v>
      </c>
      <c r="N16" s="37" t="s">
        <v>1912</v>
      </c>
    </row>
    <row r="17" spans="1:14" x14ac:dyDescent="0.25">
      <c r="A17" s="6" t="s">
        <v>156</v>
      </c>
      <c r="B17" s="2" t="s">
        <v>591</v>
      </c>
      <c r="C17" s="2">
        <v>2016</v>
      </c>
      <c r="D17" s="32" t="str">
        <f>HYPERLINK("http://cgn.websites.wur.nl/website/pictures/Special_collection_CGNSC002/Juveniles/TKI 021 (2016-05-02).JPG","Yes")</f>
        <v>Yes</v>
      </c>
      <c r="E17" s="34" t="str">
        <f>HYPERLINK("http://cgn.websites.wur.nl/website/pictures/Special_collection_CGNSC002/Adults/TKI 021 (2016-05-26).JPG","Yes")</f>
        <v>Yes</v>
      </c>
      <c r="F17" s="33" t="str">
        <f>HYPERLINK("http://cgn.websites.wur.nl/website/pictures/Special_collection_CGNSC002/Flowers/TKI 021 (2016-07-28).JPG","Yes")</f>
        <v>Yes</v>
      </c>
      <c r="G17" s="33" t="str">
        <f>HYPERLINK("http://cgn.websites.wur.nl/website/pictures/Special_collection_CGNSC002/Seeds/TKI 021 (2016-11-22).JPG","Yes")</f>
        <v>Yes</v>
      </c>
      <c r="H17" s="1" t="s">
        <v>588</v>
      </c>
      <c r="I17" s="2"/>
      <c r="J17" s="15">
        <v>130</v>
      </c>
      <c r="K17" s="2"/>
      <c r="L17" s="2" t="s">
        <v>1877</v>
      </c>
      <c r="M17" s="2"/>
      <c r="N17" s="37" t="s">
        <v>1913</v>
      </c>
    </row>
    <row r="18" spans="1:14" x14ac:dyDescent="0.25">
      <c r="A18" s="6" t="s">
        <v>157</v>
      </c>
      <c r="B18" s="2" t="s">
        <v>591</v>
      </c>
      <c r="C18" s="2">
        <v>2016</v>
      </c>
      <c r="D18" s="32" t="str">
        <f>HYPERLINK("http://cgn.websites.wur.nl/website/pictures/Special_collection_CGNSC002/Juveniles/TKI 022 (2016-05-02).JPG","Yes")</f>
        <v>Yes</v>
      </c>
      <c r="E18" s="34" t="str">
        <f>HYPERLINK("http://cgn.websites.wur.nl/website/pictures/Special_collection_CGNSC002/Adults/TKI 022 (2016-05-26).JPG","Yes")</f>
        <v>Yes</v>
      </c>
      <c r="F18" s="33" t="str">
        <f>HYPERLINK("http://cgn.websites.wur.nl/website/pictures/Special_collection_CGNSC002/Flowers/TKI 022 (2016-07-04).JPG","Yes")</f>
        <v>Yes</v>
      </c>
      <c r="G18" s="33" t="str">
        <f>HYPERLINK("http://cgn.websites.wur.nl/website/pictures/Special_collection_CGNSC002/Seeds/TKI 022 (2016-11-22).JPG","Yes")</f>
        <v>Yes</v>
      </c>
      <c r="H18" s="1" t="s">
        <v>587</v>
      </c>
      <c r="I18" s="2"/>
      <c r="J18" s="15">
        <v>102</v>
      </c>
      <c r="K18" s="2"/>
      <c r="L18" s="2" t="s">
        <v>1877</v>
      </c>
      <c r="M18" s="2"/>
      <c r="N18" s="37" t="s">
        <v>1914</v>
      </c>
    </row>
    <row r="19" spans="1:14" x14ac:dyDescent="0.25">
      <c r="A19" s="6" t="s">
        <v>158</v>
      </c>
      <c r="B19" s="2" t="s">
        <v>591</v>
      </c>
      <c r="C19" s="2">
        <v>2016</v>
      </c>
      <c r="D19" s="32" t="str">
        <f>HYPERLINK("http://cgn.websites.wur.nl/website/pictures/Special_collection_CGNSC002/Juveniles/TKI 023 (2016-05-02).JPG","Yes")</f>
        <v>Yes</v>
      </c>
      <c r="E19" s="34" t="str">
        <f>HYPERLINK("http://cgn.websites.wur.nl/website/pictures/Special_collection_CGNSC002/Adults/TKI 023 (2016-05-26).JPG","Yes")</f>
        <v>Yes</v>
      </c>
      <c r="F19" s="33" t="str">
        <f>HYPERLINK("http://cgn.websites.wur.nl/website/pictures/Special_collection_CGNSC002/Flowers/TKI 023 (2016-07-21).JPG","Yes")</f>
        <v>Yes</v>
      </c>
      <c r="G19" s="33" t="str">
        <f>HYPERLINK("http://cgn.websites.wur.nl/website/pictures/Special_collection_CGNSC002/Seeds/TKI 023 (2016-11-22).JPG","Yes")</f>
        <v>Yes</v>
      </c>
      <c r="H19" s="1" t="s">
        <v>587</v>
      </c>
      <c r="I19" s="2"/>
      <c r="J19" s="15">
        <v>123</v>
      </c>
      <c r="K19" s="2"/>
      <c r="L19" s="2" t="s">
        <v>1877</v>
      </c>
      <c r="M19" s="2"/>
      <c r="N19" s="37" t="s">
        <v>1915</v>
      </c>
    </row>
    <row r="20" spans="1:14" x14ac:dyDescent="0.25">
      <c r="A20" s="6" t="s">
        <v>159</v>
      </c>
      <c r="B20" s="2" t="s">
        <v>591</v>
      </c>
      <c r="C20" s="2">
        <v>2016</v>
      </c>
      <c r="D20" s="32" t="str">
        <f>HYPERLINK("http://cgn.websites.wur.nl/website/pictures/Special_collection_CGNSC002/Juveniles/TKI 024 (2016-05-02).JPG","Yes")</f>
        <v>Yes</v>
      </c>
      <c r="E20" s="34" t="str">
        <f>HYPERLINK("http://cgn.websites.wur.nl/website/pictures/Special_collection_CGNSC002/Adults/TKI 024 (2016-05-26).JPG","Yes")</f>
        <v>Yes</v>
      </c>
      <c r="F20" s="33" t="str">
        <f>HYPERLINK("http://cgn.websites.wur.nl/website/pictures/Special_collection_CGNSC002/Flowers/TKI 024 (2016-07-21).JPG","Yes")</f>
        <v>Yes</v>
      </c>
      <c r="G20" s="33" t="str">
        <f>HYPERLINK("http://cgn.websites.wur.nl/website/pictures/Special_collection_CGNSC002/Seeds/TKI 024 (2016-11-22).JPG","Yes")</f>
        <v>Yes</v>
      </c>
      <c r="H20" s="1" t="s">
        <v>588</v>
      </c>
      <c r="I20" s="2"/>
      <c r="J20" s="15">
        <v>111</v>
      </c>
      <c r="K20" s="2"/>
      <c r="L20" s="2" t="s">
        <v>1877</v>
      </c>
      <c r="M20" s="2"/>
      <c r="N20" s="37" t="s">
        <v>1916</v>
      </c>
    </row>
    <row r="21" spans="1:14" x14ac:dyDescent="0.25">
      <c r="A21" s="6" t="s">
        <v>160</v>
      </c>
      <c r="B21" s="2" t="s">
        <v>591</v>
      </c>
      <c r="C21" s="2">
        <v>2016</v>
      </c>
      <c r="D21" s="32" t="str">
        <f>HYPERLINK("http://cgn.websites.wur.nl/website/pictures/Special_collection_CGNSC002/Juveniles/TKI 025 (2016-05-02).JPG","Yes")</f>
        <v>Yes</v>
      </c>
      <c r="E21" s="34" t="str">
        <f>HYPERLINK("http://cgn.websites.wur.nl/website/pictures/Special_collection_CGNSC002/Adults/TKI 025 (2016-05-26).JPG","Yes")</f>
        <v>Yes</v>
      </c>
      <c r="F21" s="33" t="str">
        <f>HYPERLINK("http://cgn.websites.wur.nl/website/pictures/Special_collection_CGNSC002/Flowers/TKI 025 (2016-07-25).JPG","Yes")</f>
        <v>Yes</v>
      </c>
      <c r="G21" s="33" t="str">
        <f>HYPERLINK("http://cgn.websites.wur.nl/website/pictures/Special_collection_CGNSC002/Seeds/TKI 025 (2016-11-22).JPG","Yes")</f>
        <v>Yes</v>
      </c>
      <c r="H21" s="1" t="s">
        <v>587</v>
      </c>
      <c r="I21" s="2"/>
      <c r="J21" s="15">
        <v>116</v>
      </c>
      <c r="K21" s="2"/>
      <c r="L21" s="2" t="s">
        <v>1877</v>
      </c>
      <c r="M21" s="2"/>
      <c r="N21" s="37" t="s">
        <v>1917</v>
      </c>
    </row>
    <row r="22" spans="1:14" x14ac:dyDescent="0.25">
      <c r="A22" s="6" t="s">
        <v>161</v>
      </c>
      <c r="B22" s="2" t="s">
        <v>591</v>
      </c>
      <c r="C22" s="2">
        <v>2016</v>
      </c>
      <c r="D22" s="32" t="str">
        <f>HYPERLINK("http://cgn.websites.wur.nl/website/pictures/Special_collection_CGNSC002/Juveniles/TKI 026 (2016-05-02).JPG","Yes")</f>
        <v>Yes</v>
      </c>
      <c r="E22" s="34" t="str">
        <f>HYPERLINK("http://cgn.websites.wur.nl/website/pictures/Special_collection_CGNSC002/Adults/TKI 026 (2016-05-26).JPG","Yes")</f>
        <v>Yes</v>
      </c>
      <c r="F22" s="33" t="str">
        <f>HYPERLINK("http://cgn.websites.wur.nl/website/pictures/Special_collection_CGNSC002/Flowers/TKI 026 (2016-07-14).JPG","Yes")</f>
        <v>Yes</v>
      </c>
      <c r="G22" s="33" t="str">
        <f>HYPERLINK("http://cgn.websites.wur.nl/website/pictures/Special_collection_CGNSC002/Seeds/TKI 026 (2016-11-22).JPG","Yes")</f>
        <v>Yes</v>
      </c>
      <c r="H22" s="1" t="s">
        <v>588</v>
      </c>
      <c r="I22" s="2"/>
      <c r="J22" s="15">
        <v>111</v>
      </c>
      <c r="K22" s="2"/>
      <c r="L22" s="2" t="s">
        <v>1876</v>
      </c>
      <c r="M22" s="2" t="s">
        <v>1875</v>
      </c>
      <c r="N22" s="37" t="s">
        <v>1918</v>
      </c>
    </row>
    <row r="23" spans="1:14" x14ac:dyDescent="0.25">
      <c r="A23" s="6" t="s">
        <v>162</v>
      </c>
      <c r="B23" s="2" t="s">
        <v>591</v>
      </c>
      <c r="C23" s="2">
        <v>2016</v>
      </c>
      <c r="D23" s="32" t="str">
        <f>HYPERLINK("http://cgn.websites.wur.nl/website/pictures/Special_collection_CGNSC002/Juveniles/TKI 027 (2016-05-02).JPG","Yes")</f>
        <v>Yes</v>
      </c>
      <c r="E23" s="34" t="str">
        <f>HYPERLINK("http://cgn.websites.wur.nl/website/pictures/Special_collection_CGNSC002/Adults/TKI 027 (2016-05-26).JPG","Yes")</f>
        <v>Yes</v>
      </c>
      <c r="F23" s="33" t="str">
        <f>HYPERLINK("http://cgn.websites.wur.nl/website/pictures/Special_collection_CGNSC002/Flowers/TKI 027 (2016-07-11).JPG","Yes")</f>
        <v>Yes</v>
      </c>
      <c r="G23" s="33" t="str">
        <f>HYPERLINK("http://cgn.websites.wur.nl/website/pictures/Special_collection_CGNSC002/Seeds/TKI 027 (2016-11-22).JPG","Yes")</f>
        <v>Yes</v>
      </c>
      <c r="H23" s="1" t="s">
        <v>587</v>
      </c>
      <c r="I23" s="2"/>
      <c r="J23" s="15">
        <v>102</v>
      </c>
      <c r="K23" s="2"/>
      <c r="L23" s="2" t="s">
        <v>1877</v>
      </c>
      <c r="M23" s="2"/>
      <c r="N23" s="37" t="s">
        <v>1919</v>
      </c>
    </row>
    <row r="24" spans="1:14" x14ac:dyDescent="0.25">
      <c r="A24" s="6" t="s">
        <v>163</v>
      </c>
      <c r="B24" s="2" t="s">
        <v>591</v>
      </c>
      <c r="C24" s="2">
        <v>2016</v>
      </c>
      <c r="D24" s="32" t="str">
        <f>HYPERLINK("http://cgn.websites.wur.nl/website/pictures/Special_collection_CGNSC002/Juveniles/TKI 028 (2016-05-02).JPG","Yes")</f>
        <v>Yes</v>
      </c>
      <c r="E24" s="34" t="str">
        <f>HYPERLINK("http://cgn.websites.wur.nl/website/pictures/Special_collection_CGNSC002/Adults/TKI 028 (2016-05-26).JPG","Yes")</f>
        <v>Yes</v>
      </c>
      <c r="F24" s="33" t="str">
        <f>HYPERLINK("http://cgn.websites.wur.nl/website/pictures/Special_collection_CGNSC002/Flowers/TKI 028 (2016-07-21).JPG","Yes")</f>
        <v>Yes</v>
      </c>
      <c r="G24" s="33" t="str">
        <f>HYPERLINK("http://cgn.websites.wur.nl/website/pictures/Special_collection_CGNSC002/Seeds/TKI 028 (2016-11-22).JPG","Yes")</f>
        <v>Yes</v>
      </c>
      <c r="H24" s="1" t="s">
        <v>587</v>
      </c>
      <c r="I24" s="2"/>
      <c r="J24" s="15">
        <v>123</v>
      </c>
      <c r="K24" s="2"/>
      <c r="L24" s="2" t="s">
        <v>1877</v>
      </c>
      <c r="M24" s="2"/>
      <c r="N24" s="37" t="s">
        <v>1920</v>
      </c>
    </row>
    <row r="25" spans="1:14" x14ac:dyDescent="0.25">
      <c r="A25" s="6" t="s">
        <v>164</v>
      </c>
      <c r="B25" s="2" t="s">
        <v>591</v>
      </c>
      <c r="C25" s="2">
        <v>2016</v>
      </c>
      <c r="D25" s="32" t="str">
        <f>HYPERLINK("http://cgn.websites.wur.nl/website/pictures/Special_collection_CGNSC002/Juveniles/TKI 029 (2016-05-02).JPG","Yes")</f>
        <v>Yes</v>
      </c>
      <c r="E25" s="34" t="str">
        <f>HYPERLINK("http://cgn.websites.wur.nl/website/pictures/Special_collection_CGNSC002/Adults/TKI 029 (2016-05-26).JPG","Yes")</f>
        <v>Yes</v>
      </c>
      <c r="F25" s="33" t="str">
        <f>HYPERLINK("http://cgn.websites.wur.nl/website/pictures/Special_collection_CGNSC002/Flowers/TKI 029 (2016-07-21).JPG","Yes")</f>
        <v>Yes</v>
      </c>
      <c r="G25" s="33" t="str">
        <f>HYPERLINK("http://cgn.websites.wur.nl/website/pictures/Special_collection_CGNSC002/Seeds/TKI 029 (2016-11-22).JPG","Yes")</f>
        <v>Yes</v>
      </c>
      <c r="H25" s="1" t="s">
        <v>587</v>
      </c>
      <c r="I25" s="2"/>
      <c r="J25" s="15">
        <v>116</v>
      </c>
      <c r="K25" s="2"/>
      <c r="L25" s="2" t="s">
        <v>1877</v>
      </c>
      <c r="M25" s="2"/>
      <c r="N25" s="37" t="s">
        <v>1921</v>
      </c>
    </row>
    <row r="26" spans="1:14" x14ac:dyDescent="0.25">
      <c r="A26" s="6" t="s">
        <v>165</v>
      </c>
      <c r="B26" s="2" t="s">
        <v>591</v>
      </c>
      <c r="C26" s="2">
        <v>2016</v>
      </c>
      <c r="D26" s="32" t="str">
        <f>HYPERLINK("http://cgn.websites.wur.nl/website/pictures/Special_collection_CGNSC002/Juveniles/TKI 030 (2016-05-02).JPG","Yes")</f>
        <v>Yes</v>
      </c>
      <c r="E26" s="34" t="str">
        <f>HYPERLINK("http://cgn.websites.wur.nl/website/pictures/Special_collection_CGNSC002/Adults/TKI 030 (2016-05-26).JPG","Yes")</f>
        <v>Yes</v>
      </c>
      <c r="F26" s="33" t="str">
        <f>HYPERLINK("http://cgn.websites.wur.nl/website/pictures/Special_collection_CGNSC002/Flowers/TKI 030 (2016-07-28).JPG","Yes")</f>
        <v>Yes</v>
      </c>
      <c r="G26" s="33" t="str">
        <f>HYPERLINK("http://cgn.websites.wur.nl/website/pictures/Special_collection_CGNSC002/Seeds/TKI 030 (2016-11-22).JPG","Yes")</f>
        <v>Yes</v>
      </c>
      <c r="H26" s="1" t="s">
        <v>587</v>
      </c>
      <c r="I26" s="2"/>
      <c r="J26" s="15">
        <v>123</v>
      </c>
      <c r="K26" s="2"/>
      <c r="L26" s="2" t="s">
        <v>1877</v>
      </c>
      <c r="M26" s="2"/>
      <c r="N26" s="37" t="s">
        <v>1922</v>
      </c>
    </row>
    <row r="27" spans="1:14" x14ac:dyDescent="0.25">
      <c r="A27" s="6" t="s">
        <v>166</v>
      </c>
      <c r="B27" s="2" t="s">
        <v>591</v>
      </c>
      <c r="C27" s="2">
        <v>2016</v>
      </c>
      <c r="D27" s="32" t="str">
        <f>HYPERLINK("http://cgn.websites.wur.nl/website/pictures/Special_collection_CGNSC002/Juveniles/TKI 032 (2016-05-02).JPG","Yes")</f>
        <v>Yes</v>
      </c>
      <c r="E27" s="34" t="str">
        <f>HYPERLINK("http://cgn.websites.wur.nl/website/pictures/Special_collection_CGNSC002/Adults/TKI 032 (2016-05-26).JPG","Yes")</f>
        <v>Yes</v>
      </c>
      <c r="F27" s="33" t="str">
        <f>HYPERLINK("http://cgn.websites.wur.nl/website/pictures/Special_collection_CGNSC002/Flowers/TKI 032 (2016-07-25).JPG","Yes")</f>
        <v>Yes</v>
      </c>
      <c r="G27" s="33" t="str">
        <f>HYPERLINK("http://cgn.websites.wur.nl/website/pictures/Special_collection_CGNSC002/Seeds/TKI 032 (2016-11-22).JPG","Yes")</f>
        <v>Yes</v>
      </c>
      <c r="H27" s="1" t="s">
        <v>587</v>
      </c>
      <c r="I27" s="2"/>
      <c r="J27" s="15">
        <v>123</v>
      </c>
      <c r="K27" s="2"/>
      <c r="L27" s="2" t="s">
        <v>1877</v>
      </c>
      <c r="M27" s="2"/>
      <c r="N27" s="37" t="s">
        <v>1923</v>
      </c>
    </row>
    <row r="28" spans="1:14" x14ac:dyDescent="0.25">
      <c r="A28" s="6" t="s">
        <v>167</v>
      </c>
      <c r="B28" s="2" t="s">
        <v>591</v>
      </c>
      <c r="C28" s="2">
        <v>2016</v>
      </c>
      <c r="D28" s="32" t="str">
        <f>HYPERLINK("http://cgn.websites.wur.nl/website/pictures/Special_collection_CGNSC002/Juveniles/TKI 033 (2016-05-02).JPG","Yes")</f>
        <v>Yes</v>
      </c>
      <c r="E28" s="34" t="str">
        <f>HYPERLINK("http://cgn.websites.wur.nl/website/pictures/Special_collection_CGNSC002/Adults/TKI 033 (2016-05-26).JPG","Yes")</f>
        <v>Yes</v>
      </c>
      <c r="F28" s="33" t="str">
        <f>HYPERLINK("http://cgn.websites.wur.nl/website/pictures/Special_collection_CGNSC002/Flowers/TKI 033 (2016-06-27).JPG","Yes")</f>
        <v>Yes</v>
      </c>
      <c r="G28" s="33" t="str">
        <f>HYPERLINK("http://cgn.websites.wur.nl/website/pictures/Special_collection_CGNSC002/Seeds/TKI 033 (2016-11-22).JPG","Yes")</f>
        <v>Yes</v>
      </c>
      <c r="H28" s="1" t="s">
        <v>588</v>
      </c>
      <c r="I28" s="2"/>
      <c r="J28" s="15">
        <v>95</v>
      </c>
      <c r="K28" s="2"/>
      <c r="L28" s="2" t="s">
        <v>1877</v>
      </c>
      <c r="M28" s="2"/>
      <c r="N28" s="37" t="s">
        <v>1924</v>
      </c>
    </row>
    <row r="29" spans="1:14" x14ac:dyDescent="0.25">
      <c r="A29" s="6" t="s">
        <v>168</v>
      </c>
      <c r="B29" s="2" t="s">
        <v>591</v>
      </c>
      <c r="C29" s="2">
        <v>2016</v>
      </c>
      <c r="D29" s="32" t="str">
        <f>HYPERLINK("http://cgn.websites.wur.nl/website/pictures/Special_collection_CGNSC002/Juveniles/TKI 034 (2016-05-02).JPG","Yes")</f>
        <v>Yes</v>
      </c>
      <c r="E29" s="34" t="str">
        <f>HYPERLINK("http://cgn.websites.wur.nl/website/pictures/Special_collection_CGNSC002/Adults/TKI 034 (2016-05-26).JPG","Yes")</f>
        <v>Yes</v>
      </c>
      <c r="F29" s="33" t="str">
        <f>HYPERLINK("http://cgn.websites.wur.nl/website/pictures/Special_collection_CGNSC002/Flowers/TKI 034 (2016-07-21).JPG","Yes")</f>
        <v>Yes</v>
      </c>
      <c r="G29" s="33" t="str">
        <f>HYPERLINK("http://cgn.websites.wur.nl/website/pictures/Special_collection_CGNSC002/Seeds/TKI 034 (2016-11-22).JPG","Yes")</f>
        <v>Yes</v>
      </c>
      <c r="H29" s="1" t="s">
        <v>588</v>
      </c>
      <c r="I29" s="2"/>
      <c r="J29" s="15">
        <v>116</v>
      </c>
      <c r="K29" s="2"/>
      <c r="L29" s="2" t="s">
        <v>1877</v>
      </c>
      <c r="M29" s="2"/>
      <c r="N29" s="37" t="s">
        <v>1925</v>
      </c>
    </row>
    <row r="30" spans="1:14" x14ac:dyDescent="0.25">
      <c r="A30" s="6" t="s">
        <v>169</v>
      </c>
      <c r="B30" s="2" t="s">
        <v>591</v>
      </c>
      <c r="C30" s="2">
        <v>2016</v>
      </c>
      <c r="D30" s="32" t="str">
        <f>HYPERLINK("http://cgn.websites.wur.nl/website/pictures/Special_collection_CGNSC002/Juveniles/TKI 035 (2016-05-02).JPG","Yes")</f>
        <v>Yes</v>
      </c>
      <c r="E30" s="34" t="str">
        <f>HYPERLINK("http://cgn.websites.wur.nl/website/pictures/Special_collection_CGNSC002/Adults/TKI 035 (2016-05-26).JPG","Yes")</f>
        <v>Yes</v>
      </c>
      <c r="F30" s="33" t="str">
        <f>HYPERLINK("http://cgn.websites.wur.nl/website/pictures/Special_collection_CGNSC002/Flowers/TKI 035 (2016-07-21).JPG","Yes")</f>
        <v>Yes</v>
      </c>
      <c r="G30" s="33" t="str">
        <f>HYPERLINK("http://cgn.websites.wur.nl/website/pictures/Special_collection_CGNSC002/Seeds/TKI 035 (2016-11-22).JPG","Yes")</f>
        <v>Yes</v>
      </c>
      <c r="H30" s="1" t="s">
        <v>588</v>
      </c>
      <c r="I30" s="2"/>
      <c r="J30" s="15">
        <v>116</v>
      </c>
      <c r="K30" s="2"/>
      <c r="L30" s="2" t="s">
        <v>1877</v>
      </c>
      <c r="M30" s="2"/>
      <c r="N30" s="37" t="s">
        <v>1926</v>
      </c>
    </row>
    <row r="31" spans="1:14" x14ac:dyDescent="0.25">
      <c r="A31" s="6" t="s">
        <v>170</v>
      </c>
      <c r="B31" s="2" t="s">
        <v>591</v>
      </c>
      <c r="C31" s="2">
        <v>2016</v>
      </c>
      <c r="D31" s="32" t="str">
        <f>HYPERLINK("http://cgn.websites.wur.nl/website/pictures/Special_collection_CGNSC002/Juveniles/TKI 036 (2016-05-02).JPG","Yes")</f>
        <v>Yes</v>
      </c>
      <c r="E31" s="34" t="str">
        <f>HYPERLINK("http://cgn.websites.wur.nl/website/pictures/Special_collection_CGNSC002/Adults/TKI 036 (2016-05-26).JPG","Yes")</f>
        <v>Yes</v>
      </c>
      <c r="F31" s="33" t="str">
        <f>HYPERLINK("http://cgn.websites.wur.nl/website/pictures/Special_collection_CGNSC002/Flowers/TKI 036 (2016-07-21).JPG","Yes")</f>
        <v>Yes</v>
      </c>
      <c r="G31" s="33" t="str">
        <f>HYPERLINK("http://cgn.websites.wur.nl/website/pictures/Special_collection_CGNSC002/Seeds/TKI 036 (2016-11-22).JPG","Yes")</f>
        <v>Yes</v>
      </c>
      <c r="H31" s="1" t="s">
        <v>587</v>
      </c>
      <c r="I31" s="2"/>
      <c r="J31" s="15">
        <v>116</v>
      </c>
      <c r="K31" s="2"/>
      <c r="L31" s="2" t="s">
        <v>1876</v>
      </c>
      <c r="M31" s="2" t="s">
        <v>1875</v>
      </c>
      <c r="N31" s="37" t="s">
        <v>1927</v>
      </c>
    </row>
    <row r="32" spans="1:14" x14ac:dyDescent="0.25">
      <c r="A32" s="6" t="s">
        <v>171</v>
      </c>
      <c r="B32" s="2" t="s">
        <v>591</v>
      </c>
      <c r="C32" s="2">
        <v>2016</v>
      </c>
      <c r="D32" s="32" t="str">
        <f>HYPERLINK("http://cgn.websites.wur.nl/website/pictures/Special_collection_CGNSC002/Juveniles/TKI 037 (2016-05-02).JPG","Yes")</f>
        <v>Yes</v>
      </c>
      <c r="E32" s="34" t="str">
        <f>HYPERLINK("http://cgn.websites.wur.nl/website/pictures/Special_collection_CGNSC002/Adults/TKI 037 (2016-05-26).JPG","Yes")</f>
        <v>Yes</v>
      </c>
      <c r="F32" s="33" t="str">
        <f>HYPERLINK("http://cgn.websites.wur.nl/website/pictures/Special_collection_CGNSC002/Flowers/TKI 037 (2016-07-14).JPG","Yes")</f>
        <v>Yes</v>
      </c>
      <c r="G32" s="33" t="str">
        <f>HYPERLINK("http://cgn.websites.wur.nl/website/pictures/Special_collection_CGNSC002/Seeds/TKI 037 (2016-11-22).JPG","Yes")</f>
        <v>Yes</v>
      </c>
      <c r="H32" s="1" t="s">
        <v>587</v>
      </c>
      <c r="I32" s="2"/>
      <c r="J32" s="15">
        <v>102</v>
      </c>
      <c r="K32" s="2"/>
      <c r="L32" s="2" t="s">
        <v>1877</v>
      </c>
      <c r="M32" s="2"/>
      <c r="N32" s="37" t="s">
        <v>1928</v>
      </c>
    </row>
    <row r="33" spans="1:14" x14ac:dyDescent="0.25">
      <c r="A33" s="6" t="s">
        <v>172</v>
      </c>
      <c r="B33" s="2" t="s">
        <v>591</v>
      </c>
      <c r="C33" s="2">
        <v>2016</v>
      </c>
      <c r="D33" s="32" t="str">
        <f>HYPERLINK("http://cgn.websites.wur.nl/website/pictures/Special_collection_CGNSC002/Juveniles/TKI 038 (2016-05-02).JPG","Yes")</f>
        <v>Yes</v>
      </c>
      <c r="E33" s="34" t="str">
        <f>HYPERLINK("http://cgn.websites.wur.nl/website/pictures/Special_collection_CGNSC002/Adults/TKI 038 (2016-05-26).JPG","Yes")</f>
        <v>Yes</v>
      </c>
      <c r="F33" s="33" t="str">
        <f>HYPERLINK("http://cgn.websites.wur.nl/website/pictures/Special_collection_CGNSC002/Flowers/TKI 038 (2016-07-25).JPG","Yes")</f>
        <v>Yes</v>
      </c>
      <c r="G33" s="33" t="str">
        <f>HYPERLINK("http://cgn.websites.wur.nl/website/pictures/Special_collection_CGNSC002/Seeds/TKI 038 (2016-11-30).JPG","Yes")</f>
        <v>Yes</v>
      </c>
      <c r="H33" s="1" t="s">
        <v>587</v>
      </c>
      <c r="I33" s="2"/>
      <c r="J33" s="15">
        <v>111</v>
      </c>
      <c r="K33" s="2"/>
      <c r="L33" s="2" t="s">
        <v>1877</v>
      </c>
      <c r="M33" s="2"/>
      <c r="N33" s="37" t="s">
        <v>1929</v>
      </c>
    </row>
    <row r="34" spans="1:14" x14ac:dyDescent="0.25">
      <c r="A34" s="6" t="s">
        <v>173</v>
      </c>
      <c r="B34" s="2" t="s">
        <v>591</v>
      </c>
      <c r="C34" s="2">
        <v>2016</v>
      </c>
      <c r="D34" s="32" t="str">
        <f>HYPERLINK("http://cgn.websites.wur.nl/website/pictures/Special_collection_CGNSC002/Juveniles/TKI 039 (2016-05-02).JPG","Yes")</f>
        <v>Yes</v>
      </c>
      <c r="E34" s="34" t="str">
        <f>HYPERLINK("http://cgn.websites.wur.nl/website/pictures/Special_collection_CGNSC002/Adults/TKI 039 (2016-05-26).JPG","Yes")</f>
        <v>Yes</v>
      </c>
      <c r="F34" s="33" t="str">
        <f>HYPERLINK("http://cgn.websites.wur.nl/website/pictures/Special_collection_CGNSC002/Flowers/TKI 039 (2016-07-11).JPG","Yes")</f>
        <v>Yes</v>
      </c>
      <c r="G34" s="33" t="str">
        <f>HYPERLINK("http://cgn.websites.wur.nl/website/pictures/Special_collection_CGNSC002/Seeds/TKI 039 (2016-11-22).JPG","Yes")</f>
        <v>Yes</v>
      </c>
      <c r="H34" s="1" t="s">
        <v>587</v>
      </c>
      <c r="I34" s="2"/>
      <c r="J34" s="15">
        <v>105</v>
      </c>
      <c r="K34" s="2"/>
      <c r="L34" s="2" t="s">
        <v>1877</v>
      </c>
      <c r="M34" s="2"/>
      <c r="N34" s="37" t="s">
        <v>1930</v>
      </c>
    </row>
    <row r="35" spans="1:14" x14ac:dyDescent="0.25">
      <c r="A35" s="6" t="s">
        <v>174</v>
      </c>
      <c r="B35" s="2" t="s">
        <v>591</v>
      </c>
      <c r="C35" s="2">
        <v>2016</v>
      </c>
      <c r="D35" s="32" t="str">
        <f>HYPERLINK("http://cgn.websites.wur.nl/website/pictures/Special_collection_CGNSC002/Juveniles/TKI 040 (2016-05-02).JPG","Yes")</f>
        <v>Yes</v>
      </c>
      <c r="E35" s="34" t="str">
        <f>HYPERLINK("http://cgn.websites.wur.nl/website/pictures/Special_collection_CGNSC002/Adults/TKI 040 (2016-05-26).JPG","Yes")</f>
        <v>Yes</v>
      </c>
      <c r="F35" s="33" t="str">
        <f>HYPERLINK("http://cgn.websites.wur.nl/website/pictures/Special_collection_CGNSC002/Flowers/TKI 040 (2016-08-08).JPG","Yes")</f>
        <v>Yes</v>
      </c>
      <c r="G35" s="33" t="str">
        <f>HYPERLINK("http://cgn.websites.wur.nl/website/pictures/Special_collection_CGNSC002/Seeds/TKI 040 (2016-11-22).JPG","Yes")</f>
        <v>Yes</v>
      </c>
      <c r="H35" s="1" t="s">
        <v>587</v>
      </c>
      <c r="I35" s="2"/>
      <c r="J35" s="15">
        <v>137</v>
      </c>
      <c r="K35" s="2"/>
      <c r="L35" s="2" t="s">
        <v>1877</v>
      </c>
      <c r="M35" s="2"/>
      <c r="N35" s="37" t="s">
        <v>1931</v>
      </c>
    </row>
    <row r="36" spans="1:14" x14ac:dyDescent="0.25">
      <c r="A36" s="6" t="s">
        <v>175</v>
      </c>
      <c r="B36" s="2" t="s">
        <v>591</v>
      </c>
      <c r="C36" s="2">
        <v>2016</v>
      </c>
      <c r="D36" s="32" t="str">
        <f>HYPERLINK("http://cgn.websites.wur.nl/website/pictures/Special_collection_CGNSC002/Juveniles/TKI 041 (2016-05-02).JPG","Yes")</f>
        <v>Yes</v>
      </c>
      <c r="E36" s="34" t="str">
        <f>HYPERLINK("http://cgn.websites.wur.nl/website/pictures/Special_collection_CGNSC002/Adults/TKI 041 (2016-05-26).JPG","Yes")</f>
        <v>Yes</v>
      </c>
      <c r="F36" s="33" t="str">
        <f>HYPERLINK("http://cgn.websites.wur.nl/website/pictures/Special_collection_CGNSC002/Flowers/TKI 041 (2016-07-21).JPG","Yes")</f>
        <v>Yes</v>
      </c>
      <c r="G36" s="33" t="str">
        <f>HYPERLINK("http://cgn.websites.wur.nl/website/pictures/Special_collection_CGNSC002/Seeds/TKI 041 (2016-11-30).JPG","Yes")</f>
        <v>Yes</v>
      </c>
      <c r="H36" s="1" t="s">
        <v>588</v>
      </c>
      <c r="I36" s="2"/>
      <c r="J36" s="15">
        <v>116</v>
      </c>
      <c r="K36" s="2"/>
      <c r="L36" s="2" t="s">
        <v>1876</v>
      </c>
      <c r="M36" s="2" t="s">
        <v>1875</v>
      </c>
      <c r="N36" s="37" t="s">
        <v>1932</v>
      </c>
    </row>
    <row r="37" spans="1:14" x14ac:dyDescent="0.25">
      <c r="A37" s="6" t="s">
        <v>176</v>
      </c>
      <c r="B37" s="2" t="s">
        <v>591</v>
      </c>
      <c r="C37" s="2">
        <v>2016</v>
      </c>
      <c r="D37" s="32" t="str">
        <f>HYPERLINK("http://cgn.websites.wur.nl/website/pictures/Special_collection_CGNSC002/Juveniles/TKI 042 (2016-05-02).JPG","Yes")</f>
        <v>Yes</v>
      </c>
      <c r="E37" s="34" t="str">
        <f>HYPERLINK("http://cgn.websites.wur.nl/website/pictures/Special_collection_CGNSC002/Adults/TKI 042 (2016-05-26).JPG","Yes")</f>
        <v>Yes</v>
      </c>
      <c r="F37" s="33" t="str">
        <f>HYPERLINK("http://cgn.websites.wur.nl/website/pictures/Special_collection_CGNSC002/Flowers/TKI 042 (2016-07-14).JPG","Yes")</f>
        <v>Yes</v>
      </c>
      <c r="G37" s="33" t="str">
        <f>HYPERLINK("http://cgn.websites.wur.nl/website/pictures/Special_collection_CGNSC002/Seeds/TKI 042 (2016-11-22).JPG","Yes")</f>
        <v>Yes</v>
      </c>
      <c r="H37" s="1" t="s">
        <v>587</v>
      </c>
      <c r="I37" s="2"/>
      <c r="J37" s="15">
        <v>105</v>
      </c>
      <c r="K37" s="2"/>
      <c r="L37" s="2" t="s">
        <v>1876</v>
      </c>
      <c r="M37" s="2" t="s">
        <v>1875</v>
      </c>
      <c r="N37" s="37" t="s">
        <v>1933</v>
      </c>
    </row>
    <row r="38" spans="1:14" x14ac:dyDescent="0.25">
      <c r="A38" s="6" t="s">
        <v>177</v>
      </c>
      <c r="B38" s="2" t="s">
        <v>591</v>
      </c>
      <c r="C38" s="2">
        <v>2016</v>
      </c>
      <c r="D38" s="32" t="str">
        <f>HYPERLINK("http://cgn.websites.wur.nl/website/pictures/Special_collection_CGNSC002/Juveniles/TKI 043 (2016-05-02).JPG","Yes")</f>
        <v>Yes</v>
      </c>
      <c r="E38" s="34" t="str">
        <f>HYPERLINK("http://cgn.websites.wur.nl/website/pictures/Special_collection_CGNSC002/Adults/TKI 043 (2016-05-26).JPG","Yes")</f>
        <v>Yes</v>
      </c>
      <c r="F38" s="33" t="str">
        <f>HYPERLINK("http://cgn.websites.wur.nl/website/pictures/Special_collection_CGNSC002/Flowers/TKI 043 (2016-07-04).JPG","Yes")</f>
        <v>Yes</v>
      </c>
      <c r="G38" s="33" t="str">
        <f>HYPERLINK("http://cgn.websites.wur.nl/website/pictures/Special_collection_CGNSC002/Seeds/TKI 043 (2016-11-22).JPG","Yes")</f>
        <v>Yes</v>
      </c>
      <c r="H38" s="1" t="s">
        <v>587</v>
      </c>
      <c r="I38" s="2"/>
      <c r="J38" s="15">
        <v>102</v>
      </c>
      <c r="K38" s="2"/>
      <c r="L38" s="2" t="s">
        <v>1876</v>
      </c>
      <c r="M38" s="2" t="s">
        <v>1875</v>
      </c>
      <c r="N38" s="37" t="s">
        <v>1934</v>
      </c>
    </row>
    <row r="39" spans="1:14" x14ac:dyDescent="0.25">
      <c r="A39" s="6" t="s">
        <v>178</v>
      </c>
      <c r="B39" s="2" t="s">
        <v>591</v>
      </c>
      <c r="C39" s="2">
        <v>2016</v>
      </c>
      <c r="D39" s="32" t="str">
        <f>HYPERLINK("http://cgn.websites.wur.nl/website/pictures/Special_collection_CGNSC002/Juveniles/TKI 044 (2016-05-02).JPG","Yes")</f>
        <v>Yes</v>
      </c>
      <c r="E39" s="34" t="str">
        <f>HYPERLINK("http://cgn.websites.wur.nl/website/pictures/Special_collection_CGNSC002/Adults/TKI 044 (2016-05-26).JPG","Yes")</f>
        <v>Yes</v>
      </c>
      <c r="F39" s="33" t="str">
        <f>HYPERLINK("http://cgn.websites.wur.nl/website/pictures/Special_collection_CGNSC002/Flowers/TKI 044 (2016-08-08).JPG","Yes")</f>
        <v>Yes</v>
      </c>
      <c r="G39" s="33" t="str">
        <f>HYPERLINK("http://cgn.websites.wur.nl/website/pictures/Special_collection_CGNSC002/Seeds/TKI 044 (2016-11-22).JPG","Yes")</f>
        <v>Yes</v>
      </c>
      <c r="H39" s="1" t="s">
        <v>588</v>
      </c>
      <c r="I39" s="2"/>
      <c r="J39" s="15">
        <v>130</v>
      </c>
      <c r="K39" s="2"/>
      <c r="L39" s="2" t="s">
        <v>1877</v>
      </c>
      <c r="M39" s="2"/>
      <c r="N39" s="37" t="s">
        <v>1935</v>
      </c>
    </row>
    <row r="40" spans="1:14" x14ac:dyDescent="0.25">
      <c r="A40" s="6" t="s">
        <v>179</v>
      </c>
      <c r="B40" s="2" t="s">
        <v>591</v>
      </c>
      <c r="C40" s="2">
        <v>2016</v>
      </c>
      <c r="D40" s="32" t="str">
        <f>HYPERLINK("http://cgn.websites.wur.nl/website/pictures/Special_collection_CGNSC002/Juveniles/TKI 045 (2016-05-02).JPG","Yes")</f>
        <v>Yes</v>
      </c>
      <c r="E40" s="34" t="str">
        <f>HYPERLINK("http://cgn.websites.wur.nl/website/pictures/Special_collection_CGNSC002/Adults/TKI 045 (2016-05-26).JPG","Yes")</f>
        <v>Yes</v>
      </c>
      <c r="F40" s="33" t="str">
        <f>HYPERLINK("http://cgn.websites.wur.nl/website/pictures/Special_collection_CGNSC002/Flowers/TKI 045 (2016-08-08).JPG","Yes")</f>
        <v>Yes</v>
      </c>
      <c r="G40" s="33" t="str">
        <f>HYPERLINK("http://cgn.websites.wur.nl/website/pictures/Special_collection_CGNSC002/Seeds/TKI 045 (2016-11-22).JPG","Yes")</f>
        <v>Yes</v>
      </c>
      <c r="H40" s="1" t="s">
        <v>588</v>
      </c>
      <c r="I40" s="2"/>
      <c r="J40" s="15">
        <v>137</v>
      </c>
      <c r="K40" s="2"/>
      <c r="L40" s="2" t="s">
        <v>1877</v>
      </c>
      <c r="M40" s="2" t="s">
        <v>1875</v>
      </c>
      <c r="N40" s="37" t="s">
        <v>1936</v>
      </c>
    </row>
    <row r="41" spans="1:14" x14ac:dyDescent="0.25">
      <c r="A41" s="6" t="s">
        <v>180</v>
      </c>
      <c r="B41" s="2" t="s">
        <v>591</v>
      </c>
      <c r="C41" s="2">
        <v>2016</v>
      </c>
      <c r="D41" s="32" t="str">
        <f>HYPERLINK("http://cgn.websites.wur.nl/website/pictures/Special_collection_CGNSC002/Juveniles/TKI 047 (2016-05-02).JPG","Yes")</f>
        <v>Yes</v>
      </c>
      <c r="E41" s="34" t="str">
        <f>HYPERLINK("http://cgn.websites.wur.nl/website/pictures/Special_collection_CGNSC002/Adults/TKI 047 (2016-05-26).JPG","Yes")</f>
        <v>Yes</v>
      </c>
      <c r="F41" s="33" t="str">
        <f>HYPERLINK("http://cgn.websites.wur.nl/website/pictures/Special_collection_CGNSC002/Flowers/TKI 047 (2016-07-11).JPG","Yes")</f>
        <v>Yes</v>
      </c>
      <c r="G41" s="33" t="str">
        <f>HYPERLINK("http://cgn.websites.wur.nl/website/pictures/Special_collection_CGNSC002/Seeds/TKI 047 (2016-11-23).JPG","Yes")</f>
        <v>Yes</v>
      </c>
      <c r="H41" s="1" t="s">
        <v>588</v>
      </c>
      <c r="I41" s="2"/>
      <c r="J41" s="15">
        <v>111</v>
      </c>
      <c r="K41" s="2"/>
      <c r="L41" s="2" t="s">
        <v>1877</v>
      </c>
      <c r="M41" s="2"/>
      <c r="N41" s="37" t="s">
        <v>1937</v>
      </c>
    </row>
    <row r="42" spans="1:14" x14ac:dyDescent="0.25">
      <c r="A42" s="6" t="s">
        <v>181</v>
      </c>
      <c r="B42" s="2" t="s">
        <v>591</v>
      </c>
      <c r="C42" s="2">
        <v>2016</v>
      </c>
      <c r="D42" s="32" t="str">
        <f>HYPERLINK("http://cgn.websites.wur.nl/website/pictures/Special_collection_CGNSC002/Juveniles/TKI 048 (2016-05-02).JPG","Yes")</f>
        <v>Yes</v>
      </c>
      <c r="E42" s="34" t="str">
        <f>HYPERLINK("http://cgn.websites.wur.nl/website/pictures/Special_collection_CGNSC002/Adults/TKI 048 (2016-05-26).JPG","Yes")</f>
        <v>Yes</v>
      </c>
      <c r="F42" s="33" t="str">
        <f>HYPERLINK("http://cgn.websites.wur.nl/website/pictures/Special_collection_CGNSC002/Flowers/TKI 048 (2016-07-11).JPG","Yes")</f>
        <v>Yes</v>
      </c>
      <c r="G42" s="33" t="str">
        <f>HYPERLINK("http://cgn.websites.wur.nl/website/pictures/Special_collection_CGNSC002/Seeds/TKI 048 (2016-11-22).JPG","Yes")</f>
        <v>Yes</v>
      </c>
      <c r="H42" s="1" t="s">
        <v>587</v>
      </c>
      <c r="I42" s="2"/>
      <c r="J42" s="15">
        <v>125</v>
      </c>
      <c r="K42" s="2"/>
      <c r="L42" s="2" t="s">
        <v>1876</v>
      </c>
      <c r="M42" s="2" t="s">
        <v>1875</v>
      </c>
      <c r="N42" s="37" t="s">
        <v>1938</v>
      </c>
    </row>
    <row r="43" spans="1:14" x14ac:dyDescent="0.25">
      <c r="A43" s="6" t="s">
        <v>182</v>
      </c>
      <c r="B43" s="2" t="s">
        <v>591</v>
      </c>
      <c r="C43" s="2">
        <v>2016</v>
      </c>
      <c r="D43" s="32" t="str">
        <f>HYPERLINK("http://cgn.websites.wur.nl/website/pictures/Special_collection_CGNSC002/Juveniles/TKI 049 (2016-05-02).JPG","Yes")</f>
        <v>Yes</v>
      </c>
      <c r="E43" s="34" t="str">
        <f>HYPERLINK("http://cgn.websites.wur.nl/website/pictures/Special_collection_CGNSC002/Adults/TKI 049 (2016-05-26).JPG","Yes")</f>
        <v>Yes</v>
      </c>
      <c r="F43" s="33" t="str">
        <f>HYPERLINK("http://cgn.websites.wur.nl/website/pictures/Special_collection_CGNSC002/Flowers/TKI 049 (2016-07-14).JPG","Yes")</f>
        <v>Yes</v>
      </c>
      <c r="G43" s="33" t="str">
        <f>HYPERLINK("http://cgn.websites.wur.nl/website/pictures/Special_collection_CGNSC002/Seeds/TKI 049 (2016-11-30).JPG","Yes")</f>
        <v>Yes</v>
      </c>
      <c r="H43" s="1" t="s">
        <v>588</v>
      </c>
      <c r="I43" s="2"/>
      <c r="J43" s="15">
        <v>111</v>
      </c>
      <c r="K43" s="2"/>
      <c r="L43" s="2" t="s">
        <v>1877</v>
      </c>
      <c r="M43" s="2"/>
      <c r="N43" s="37" t="s">
        <v>1939</v>
      </c>
    </row>
    <row r="44" spans="1:14" x14ac:dyDescent="0.25">
      <c r="A44" s="6" t="s">
        <v>183</v>
      </c>
      <c r="B44" s="2" t="s">
        <v>591</v>
      </c>
      <c r="C44" s="2">
        <v>2016</v>
      </c>
      <c r="D44" s="32" t="str">
        <f>HYPERLINK("http://cgn.websites.wur.nl/website/pictures/Special_collection_CGNSC002/Juveniles/TKI 050 (2016-05-02).JPG","Yes")</f>
        <v>Yes</v>
      </c>
      <c r="E44" s="34" t="str">
        <f>HYPERLINK("http://cgn.websites.wur.nl/website/pictures/Special_collection_CGNSC002/Adults/TKI 050 (2016-05-26).JPG","Yes")</f>
        <v>Yes</v>
      </c>
      <c r="F44" s="33" t="str">
        <f>HYPERLINK("http://cgn.websites.wur.nl/website/pictures/Special_collection_CGNSC002/Flowers/TKI 050 (2016-07-04).JPG","Yes")</f>
        <v>Yes</v>
      </c>
      <c r="G44" s="33" t="str">
        <f>HYPERLINK("http://cgn.websites.wur.nl/website/pictures/Special_collection_CGNSC002/Seeds/TKI 050 (2016-11-30).JPG","Yes")</f>
        <v>Yes</v>
      </c>
      <c r="H44" s="1" t="s">
        <v>587</v>
      </c>
      <c r="I44" s="2"/>
      <c r="J44" s="15">
        <v>102</v>
      </c>
      <c r="K44" s="2"/>
      <c r="L44" s="2" t="s">
        <v>1877</v>
      </c>
      <c r="M44" s="2"/>
      <c r="N44" s="37" t="s">
        <v>1940</v>
      </c>
    </row>
    <row r="45" spans="1:14" x14ac:dyDescent="0.25">
      <c r="A45" s="6" t="s">
        <v>184</v>
      </c>
      <c r="B45" s="2" t="s">
        <v>591</v>
      </c>
      <c r="C45" s="2">
        <v>2016</v>
      </c>
      <c r="D45" s="32" t="str">
        <f>HYPERLINK("http://cgn.websites.wur.nl/website/pictures/Special_collection_CGNSC002/Juveniles/TKI 051 (2016-05-02).JPG","Yes")</f>
        <v>Yes</v>
      </c>
      <c r="E45" s="34" t="str">
        <f>HYPERLINK("http://cgn.websites.wur.nl/website/pictures/Special_collection_CGNSC002/Adults/TKI 051 (2016-05-26).JPG","Yes")</f>
        <v>Yes</v>
      </c>
      <c r="F45" s="33" t="str">
        <f>HYPERLINK("http://cgn.websites.wur.nl/website/pictures/Special_collection_CGNSC002/Flowers/TKI 051 (2016-07-11).JPG","Yes")</f>
        <v>Yes</v>
      </c>
      <c r="G45" s="33" t="str">
        <f>HYPERLINK("http://cgn.websites.wur.nl/website/pictures/Special_collection_CGNSC002/Seeds/TKI 051 (2016-11-30).JPG","Yes")</f>
        <v>Yes</v>
      </c>
      <c r="H45" s="1" t="s">
        <v>587</v>
      </c>
      <c r="I45" s="2"/>
      <c r="J45" s="15">
        <v>102</v>
      </c>
      <c r="K45" s="2"/>
      <c r="L45" s="2" t="s">
        <v>1877</v>
      </c>
      <c r="M45" s="2"/>
      <c r="N45" s="37" t="s">
        <v>1941</v>
      </c>
    </row>
    <row r="46" spans="1:14" x14ac:dyDescent="0.25">
      <c r="A46" s="6" t="s">
        <v>185</v>
      </c>
      <c r="B46" s="2" t="s">
        <v>591</v>
      </c>
      <c r="C46" s="2">
        <v>2016</v>
      </c>
      <c r="D46" s="32" t="str">
        <f>HYPERLINK("http://cgn.websites.wur.nl/website/pictures/Special_collection_CGNSC002/Juveniles/TKI 053 (2016-05-02).JPG","Yes")</f>
        <v>Yes</v>
      </c>
      <c r="E46" s="34" t="str">
        <f>HYPERLINK("http://cgn.websites.wur.nl/website/pictures/Special_collection_CGNSC002/Adults/TKI 053 (2016-05-26).JPG","Yes")</f>
        <v>Yes</v>
      </c>
      <c r="F46" s="33" t="str">
        <f>HYPERLINK("http://cgn.websites.wur.nl/website/pictures/Special_collection_CGNSC002/Flowers/TKI 053 (2016-07-28).JPG","Yes")</f>
        <v>Yes</v>
      </c>
      <c r="G46" s="33" t="str">
        <f>HYPERLINK("http://cgn.websites.wur.nl/website/pictures/Special_collection_CGNSC002/Seeds/TKI 053 (2016-11-30).JPG","Yes")</f>
        <v>Yes</v>
      </c>
      <c r="H46" s="1" t="s">
        <v>588</v>
      </c>
      <c r="I46" s="2"/>
      <c r="J46" s="15">
        <v>130</v>
      </c>
      <c r="K46" s="2"/>
      <c r="L46" s="2" t="s">
        <v>1877</v>
      </c>
      <c r="M46" s="2"/>
      <c r="N46" s="37" t="s">
        <v>1942</v>
      </c>
    </row>
    <row r="47" spans="1:14" x14ac:dyDescent="0.25">
      <c r="A47" s="6" t="s">
        <v>186</v>
      </c>
      <c r="B47" s="2" t="s">
        <v>591</v>
      </c>
      <c r="C47" s="2">
        <v>2016</v>
      </c>
      <c r="D47" s="32" t="str">
        <f>HYPERLINK("http://cgn.websites.wur.nl/website/pictures/Special_collection_CGNSC002/Juveniles/TKI 054 (2016-05-02).JPG","Yes")</f>
        <v>Yes</v>
      </c>
      <c r="E47" s="34" t="str">
        <f>HYPERLINK("http://cgn.websites.wur.nl/website/pictures/Special_collection_CGNSC002/Adults/TKI 054 (2016-05-26).JPG","Yes")</f>
        <v>Yes</v>
      </c>
      <c r="F47" s="33" t="str">
        <f>HYPERLINK("http://cgn.websites.wur.nl/website/pictures/Special_collection_CGNSC002/Flowers/TKI 054 (2016-07-21).JPG","Yes")</f>
        <v>Yes</v>
      </c>
      <c r="G47" s="33" t="str">
        <f>HYPERLINK("http://cgn.websites.wur.nl/website/pictures/Special_collection_CGNSC002/Seeds/TKI 054 (2016-11-30).JPG","Yes")</f>
        <v>Yes</v>
      </c>
      <c r="H47" s="1" t="s">
        <v>587</v>
      </c>
      <c r="I47" s="2"/>
      <c r="J47" s="15">
        <v>123</v>
      </c>
      <c r="K47" s="2"/>
      <c r="L47" s="2" t="s">
        <v>1877</v>
      </c>
      <c r="M47" s="2"/>
      <c r="N47" s="37" t="s">
        <v>1943</v>
      </c>
    </row>
    <row r="48" spans="1:14" x14ac:dyDescent="0.25">
      <c r="A48" s="6" t="s">
        <v>187</v>
      </c>
      <c r="B48" s="2" t="s">
        <v>591</v>
      </c>
      <c r="C48" s="2">
        <v>2016</v>
      </c>
      <c r="D48" s="32" t="str">
        <f>HYPERLINK("http://cgn.websites.wur.nl/website/pictures/Special_collection_CGNSC002/Juveniles/TKI 055 (2016-05-02).JPG","Yes")</f>
        <v>Yes</v>
      </c>
      <c r="E48" s="34" t="str">
        <f>HYPERLINK("http://cgn.websites.wur.nl/website/pictures/Special_collection_CGNSC002/Adults/TKI 055 (2016-05-26).JPG","Yes")</f>
        <v>Yes</v>
      </c>
      <c r="F48" s="33" t="str">
        <f>HYPERLINK("http://cgn.websites.wur.nl/website/pictures/Special_collection_CGNSC002/Flowers/TKI 055 (2016-08-08).JPG","Yes")</f>
        <v>Yes</v>
      </c>
      <c r="G48" s="33" t="str">
        <f>HYPERLINK("http://cgn.websites.wur.nl/website/pictures/Special_collection_CGNSC002/Seeds/TKI 055 (2016-11-30).JPG","Yes")</f>
        <v>Yes</v>
      </c>
      <c r="H48" s="1" t="s">
        <v>587</v>
      </c>
      <c r="I48" s="2"/>
      <c r="J48" s="15">
        <v>123</v>
      </c>
      <c r="K48" s="2"/>
      <c r="L48" s="2" t="s">
        <v>1877</v>
      </c>
      <c r="M48" s="2" t="s">
        <v>1875</v>
      </c>
      <c r="N48" s="37" t="s">
        <v>1944</v>
      </c>
    </row>
    <row r="49" spans="1:14" x14ac:dyDescent="0.25">
      <c r="A49" s="6" t="s">
        <v>188</v>
      </c>
      <c r="B49" s="2" t="s">
        <v>591</v>
      </c>
      <c r="C49" s="2">
        <v>2016</v>
      </c>
      <c r="D49" s="32" t="str">
        <f>HYPERLINK("http://cgn.websites.wur.nl/website/pictures/Special_collection_CGNSC002/Juveniles/TKI 056 (2016-05-02).JPG","Yes")</f>
        <v>Yes</v>
      </c>
      <c r="E49" s="34" t="str">
        <f>HYPERLINK("http://cgn.websites.wur.nl/website/pictures/Special_collection_CGNSC002/Adults/TKI 056 (2016-05-26).JPG","Yes")</f>
        <v>Yes</v>
      </c>
      <c r="F49" s="33" t="str">
        <f>HYPERLINK("http://cgn.websites.wur.nl/website/pictures/Special_collection_CGNSC002/Flowers/TKI 056 (2016-07-21).JPG","Yes")</f>
        <v>Yes</v>
      </c>
      <c r="G49" s="33" t="str">
        <f>HYPERLINK("http://cgn.websites.wur.nl/website/pictures/Special_collection_CGNSC002/Seeds/TKI 056 (2016-11-30).JPG","Yes")</f>
        <v>Yes</v>
      </c>
      <c r="H49" s="1" t="s">
        <v>587</v>
      </c>
      <c r="I49" s="2"/>
      <c r="J49" s="15">
        <v>116</v>
      </c>
      <c r="K49" s="2"/>
      <c r="L49" s="2" t="s">
        <v>1877</v>
      </c>
      <c r="M49" s="2"/>
      <c r="N49" s="37" t="s">
        <v>1945</v>
      </c>
    </row>
    <row r="50" spans="1:14" x14ac:dyDescent="0.25">
      <c r="A50" s="6" t="s">
        <v>189</v>
      </c>
      <c r="B50" s="2" t="s">
        <v>591</v>
      </c>
      <c r="C50" s="2">
        <v>2016</v>
      </c>
      <c r="D50" s="32" t="str">
        <f>HYPERLINK("http://cgn.websites.wur.nl/website/pictures/Special_collection_CGNSC002/Juveniles/TKI 057 (2016-05-02).JPG","Yes")</f>
        <v>Yes</v>
      </c>
      <c r="E50" s="34" t="str">
        <f>HYPERLINK("http://cgn.websites.wur.nl/website/pictures/Special_collection_CGNSC002/Adults/TKI 057 (2016-05-26).JPG","Yes")</f>
        <v>Yes</v>
      </c>
      <c r="F50" s="33" t="str">
        <f>HYPERLINK("http://cgn.websites.wur.nl/website/pictures/Special_collection_CGNSC002/Flowers/TKI 057 (2016-07-11).JPG","Yes")</f>
        <v>Yes</v>
      </c>
      <c r="G50" s="33" t="str">
        <f>HYPERLINK("http://cgn.websites.wur.nl/website/pictures/Special_collection_CGNSC002/Seeds/TKI 057 (2016-11-30).JPG","Yes")</f>
        <v>Yes</v>
      </c>
      <c r="H50" s="1" t="s">
        <v>587</v>
      </c>
      <c r="I50" s="2"/>
      <c r="J50" s="15">
        <v>111</v>
      </c>
      <c r="K50" s="2"/>
      <c r="L50" s="2" t="s">
        <v>1877</v>
      </c>
      <c r="M50" s="2"/>
      <c r="N50" s="37" t="s">
        <v>1946</v>
      </c>
    </row>
    <row r="51" spans="1:14" x14ac:dyDescent="0.25">
      <c r="A51" s="6" t="s">
        <v>190</v>
      </c>
      <c r="B51" s="2" t="s">
        <v>591</v>
      </c>
      <c r="C51" s="2">
        <v>2016</v>
      </c>
      <c r="D51" s="32" t="str">
        <f>HYPERLINK("http://cgn.websites.wur.nl/website/pictures/Special_collection_CGNSC002/Juveniles/TKI 058 (2016-05-02).JPG","Yes")</f>
        <v>Yes</v>
      </c>
      <c r="E51" s="34" t="str">
        <f>HYPERLINK("http://cgn.websites.wur.nl/website/pictures/Special_collection_CGNSC002/Adults/TKI 058 (2016-05-26).JPG","Yes")</f>
        <v>Yes</v>
      </c>
      <c r="F51" s="33" t="str">
        <f>HYPERLINK("http://cgn.websites.wur.nl/website/pictures/Special_collection_CGNSC002/Flowers/TKI 058 (2016-07-28).JPG","Yes")</f>
        <v>Yes</v>
      </c>
      <c r="G51" s="33" t="str">
        <f>HYPERLINK("http://cgn.websites.wur.nl/website/pictures/Special_collection_CGNSC002/Seeds/TKI 058 (2016-11-30).JPG","Yes")</f>
        <v>Yes</v>
      </c>
      <c r="H51" s="1" t="s">
        <v>587</v>
      </c>
      <c r="I51" s="2"/>
      <c r="J51" s="15">
        <v>123</v>
      </c>
      <c r="K51" s="2"/>
      <c r="L51" s="2" t="s">
        <v>1877</v>
      </c>
      <c r="M51" s="2"/>
      <c r="N51" s="37" t="s">
        <v>1947</v>
      </c>
    </row>
    <row r="52" spans="1:14" x14ac:dyDescent="0.25">
      <c r="A52" s="6" t="s">
        <v>191</v>
      </c>
      <c r="B52" s="2" t="s">
        <v>591</v>
      </c>
      <c r="C52" s="2">
        <v>2016</v>
      </c>
      <c r="D52" s="32" t="str">
        <f>HYPERLINK("http://cgn.websites.wur.nl/website/pictures/Special_collection_CGNSC002/Juveniles/TKI 059 (2016-05-02).JPG","Yes")</f>
        <v>Yes</v>
      </c>
      <c r="E52" s="34" t="str">
        <f>HYPERLINK("http://cgn.websites.wur.nl/website/pictures/Special_collection_CGNSC002/Adults/TKI 059 (2016-05-26).JPG","Yes")</f>
        <v>Yes</v>
      </c>
      <c r="F52" s="33" t="str">
        <f>HYPERLINK("http://cgn.websites.wur.nl/website/pictures/Special_collection_CGNSC002/Flowers/TKI 059 (2016-07-11).JPG","Yes")</f>
        <v>Yes</v>
      </c>
      <c r="G52" s="33" t="str">
        <f>HYPERLINK("http://cgn.websites.wur.nl/website/pictures/Special_collection_CGNSC002/Seeds/TKI 059 (2016-11-30).JPG","Yes")</f>
        <v>Yes</v>
      </c>
      <c r="H52" s="1" t="s">
        <v>587</v>
      </c>
      <c r="I52" s="2"/>
      <c r="J52" s="15">
        <v>95</v>
      </c>
      <c r="K52" s="2"/>
      <c r="L52" s="2" t="s">
        <v>1877</v>
      </c>
      <c r="M52" s="2"/>
      <c r="N52" s="37" t="s">
        <v>1948</v>
      </c>
    </row>
    <row r="53" spans="1:14" x14ac:dyDescent="0.25">
      <c r="A53" s="6" t="s">
        <v>192</v>
      </c>
      <c r="B53" s="2" t="s">
        <v>591</v>
      </c>
      <c r="C53" s="2">
        <v>2016</v>
      </c>
      <c r="D53" s="32" t="str">
        <f>HYPERLINK("http://cgn.websites.wur.nl/website/pictures/Special_collection_CGNSC002/Juveniles/TKI 062 (2016-05-02).JPG","Yes")</f>
        <v>Yes</v>
      </c>
      <c r="E53" s="34" t="str">
        <f>HYPERLINK("http://cgn.websites.wur.nl/website/pictures/Special_collection_CGNSC002/Adults/TKI 062 (2016-05-26).JPG","Yes")</f>
        <v>Yes</v>
      </c>
      <c r="F53" s="33" t="str">
        <f>HYPERLINK("http://cgn.websites.wur.nl/website/pictures/Special_collection_CGNSC002/Flowers/TKI 062 (2016-06-27).JPG","Yes")</f>
        <v>Yes</v>
      </c>
      <c r="G53" s="33" t="str">
        <f>HYPERLINK("http://cgn.websites.wur.nl/website/pictures/Special_collection_CGNSC002/Seeds/TKI 062 (2016-11-30).JPG","Yes")</f>
        <v>Yes</v>
      </c>
      <c r="H53" s="1" t="s">
        <v>587</v>
      </c>
      <c r="I53" s="2"/>
      <c r="J53" s="15">
        <v>95</v>
      </c>
      <c r="K53" s="2"/>
      <c r="L53" s="2" t="s">
        <v>1877</v>
      </c>
      <c r="M53" s="2"/>
      <c r="N53" s="37" t="s">
        <v>1949</v>
      </c>
    </row>
    <row r="54" spans="1:14" x14ac:dyDescent="0.25">
      <c r="A54" s="6" t="s">
        <v>193</v>
      </c>
      <c r="B54" s="2" t="s">
        <v>591</v>
      </c>
      <c r="C54" s="2">
        <v>2016</v>
      </c>
      <c r="D54" s="32" t="str">
        <f>HYPERLINK("http://cgn.websites.wur.nl/website/pictures/Special_collection_CGNSC002/Juveniles/TKI 063 (2016-05-02).JPG","Yes")</f>
        <v>Yes</v>
      </c>
      <c r="E54" s="34" t="str">
        <f>HYPERLINK("http://cgn.websites.wur.nl/website/pictures/Special_collection_CGNSC002/Adults/TKI 063 (2016-05-26).JPG","Yes")</f>
        <v>Yes</v>
      </c>
      <c r="F54" s="33" t="str">
        <f>HYPERLINK("http://cgn.websites.wur.nl/website/pictures/Special_collection_CGNSC002/Flowers/TKI 063 (2016-07-28).JPG","Yes")</f>
        <v>Yes</v>
      </c>
      <c r="G54" s="33" t="str">
        <f>HYPERLINK("http://cgn.websites.wur.nl/website/pictures/Special_collection_CGNSC002/Seeds/TKI 063 (2016-11-30).JPG","Yes")</f>
        <v>Yes</v>
      </c>
      <c r="H54" s="1" t="s">
        <v>587</v>
      </c>
      <c r="I54" s="2"/>
      <c r="J54" s="15">
        <v>123</v>
      </c>
      <c r="K54" s="2"/>
      <c r="L54" s="2" t="s">
        <v>1877</v>
      </c>
      <c r="M54" s="2" t="s">
        <v>1875</v>
      </c>
      <c r="N54" s="37" t="s">
        <v>1950</v>
      </c>
    </row>
    <row r="55" spans="1:14" x14ac:dyDescent="0.25">
      <c r="A55" s="6" t="s">
        <v>194</v>
      </c>
      <c r="B55" s="2" t="s">
        <v>591</v>
      </c>
      <c r="C55" s="2">
        <v>2016</v>
      </c>
      <c r="D55" s="32" t="str">
        <f>HYPERLINK("http://cgn.websites.wur.nl/website/pictures/Special_collection_CGNSC002/Juveniles/TKI 064 (2016-05-02).JPG","Yes")</f>
        <v>Yes</v>
      </c>
      <c r="E55" s="34" t="str">
        <f>HYPERLINK("http://cgn.websites.wur.nl/website/pictures/Special_collection_CGNSC002/Adults/TKI 064 (2016-05-26).JPG","Yes")</f>
        <v>Yes</v>
      </c>
      <c r="F55" s="33" t="str">
        <f>HYPERLINK("http://cgn.websites.wur.nl/website/pictures/Special_collection_CGNSC002/Flowers/TKI 064 (2016-07-11).JPG","Yes")</f>
        <v>Yes</v>
      </c>
      <c r="G55" s="33" t="str">
        <f>HYPERLINK("http://cgn.websites.wur.nl/website/pictures/Special_collection_CGNSC002/Seeds/TKI 064 (2016-11-30).JPG","Yes")</f>
        <v>Yes</v>
      </c>
      <c r="H55" s="1" t="s">
        <v>587</v>
      </c>
      <c r="I55" s="2"/>
      <c r="J55" s="15">
        <v>88</v>
      </c>
      <c r="K55" s="2"/>
      <c r="L55" s="2" t="s">
        <v>1876</v>
      </c>
      <c r="M55" s="2" t="s">
        <v>1875</v>
      </c>
      <c r="N55" s="37" t="s">
        <v>1951</v>
      </c>
    </row>
    <row r="56" spans="1:14" x14ac:dyDescent="0.25">
      <c r="A56" s="6" t="s">
        <v>195</v>
      </c>
      <c r="B56" s="2" t="s">
        <v>591</v>
      </c>
      <c r="C56" s="2">
        <v>2016</v>
      </c>
      <c r="D56" s="32" t="str">
        <f>HYPERLINK("http://cgn.websites.wur.nl/website/pictures/Special_collection_CGNSC002/Juveniles/TKI 065 (2016-05-02).JPG","Yes")</f>
        <v>Yes</v>
      </c>
      <c r="E56" s="34" t="str">
        <f>HYPERLINK("http://cgn.websites.wur.nl/website/pictures/Special_collection_CGNSC002/Adults/TKI 065 (2016-05-26).JPG","Yes")</f>
        <v>Yes</v>
      </c>
      <c r="F56" s="33" t="str">
        <f>HYPERLINK("http://cgn.websites.wur.nl/website/pictures/Special_collection_CGNSC002/Flowers/TKI 065 (2016-07-28).JPG","Yes")</f>
        <v>Yes</v>
      </c>
      <c r="G56" s="33" t="str">
        <f>HYPERLINK("http://cgn.websites.wur.nl/website/pictures/Special_collection_CGNSC002/Seeds/TKI 065 (2016-11-30).JPG","Yes")</f>
        <v>Yes</v>
      </c>
      <c r="H56" s="1" t="s">
        <v>587</v>
      </c>
      <c r="I56" s="2"/>
      <c r="J56" s="15">
        <v>123</v>
      </c>
      <c r="K56" s="2"/>
      <c r="L56" s="2" t="s">
        <v>1876</v>
      </c>
      <c r="M56" s="2" t="s">
        <v>1875</v>
      </c>
      <c r="N56" s="37" t="s">
        <v>1952</v>
      </c>
    </row>
    <row r="57" spans="1:14" x14ac:dyDescent="0.25">
      <c r="A57" s="6" t="s">
        <v>196</v>
      </c>
      <c r="B57" s="2" t="s">
        <v>591</v>
      </c>
      <c r="C57" s="2">
        <v>2016</v>
      </c>
      <c r="D57" s="32" t="str">
        <f>HYPERLINK("http://cgn.websites.wur.nl/website/pictures/Special_collection_CGNSC002/Juveniles/TKI 066 (2016-05-02).JPG","Yes")</f>
        <v>Yes</v>
      </c>
      <c r="E57" s="34" t="str">
        <f>HYPERLINK("http://cgn.websites.wur.nl/website/pictures/Special_collection_CGNSC002/Adults/TKI 066 (2016-05-26).JPG","Yes")</f>
        <v>Yes</v>
      </c>
      <c r="F57" s="33" t="str">
        <f>HYPERLINK("http://cgn.websites.wur.nl/website/pictures/Special_collection_CGNSC002/Flowers/TKI 066 (2016-08-08).JPG","Yes")</f>
        <v>Yes</v>
      </c>
      <c r="G57" s="33" t="str">
        <f>HYPERLINK("http://cgn.websites.wur.nl/website/pictures/Special_collection_CGNSC002/Seeds/TKI 066 (2016-11-30).JPG","Yes")</f>
        <v>Yes</v>
      </c>
      <c r="H57" s="1" t="s">
        <v>587</v>
      </c>
      <c r="I57" s="2"/>
      <c r="J57" s="15">
        <v>123</v>
      </c>
      <c r="K57" s="2"/>
      <c r="L57" s="2" t="s">
        <v>1877</v>
      </c>
      <c r="M57" s="2" t="s">
        <v>1875</v>
      </c>
      <c r="N57" s="37" t="s">
        <v>1953</v>
      </c>
    </row>
    <row r="58" spans="1:14" x14ac:dyDescent="0.25">
      <c r="A58" s="6" t="s">
        <v>197</v>
      </c>
      <c r="B58" s="2" t="s">
        <v>591</v>
      </c>
      <c r="C58" s="2">
        <v>2016</v>
      </c>
      <c r="D58" s="32" t="str">
        <f>HYPERLINK("http://cgn.websites.wur.nl/website/pictures/Special_collection_CGNSC002/Juveniles/TKI 067 (2016-05-02).JPG","Yes")</f>
        <v>Yes</v>
      </c>
      <c r="E58" s="34" t="str">
        <f>HYPERLINK("http://cgn.websites.wur.nl/website/pictures/Special_collection_CGNSC002/Adults/TKI 067 (2016-05-26).JPG","Yes")</f>
        <v>Yes</v>
      </c>
      <c r="F58" s="33" t="str">
        <f>HYPERLINK("http://cgn.websites.wur.nl/website/pictures/Special_collection_CGNSC002/Flowers/TKI 067 (2016-07-11).JPG","Yes")</f>
        <v>Yes</v>
      </c>
      <c r="G58" s="33" t="str">
        <f>HYPERLINK("http://cgn.websites.wur.nl/website/pictures/Special_collection_CGNSC002/Seeds/TKI 067 (2016-11-30).JPG","Yes")</f>
        <v>Yes</v>
      </c>
      <c r="H58" s="1" t="s">
        <v>587</v>
      </c>
      <c r="I58" s="2"/>
      <c r="J58" s="15">
        <v>105</v>
      </c>
      <c r="K58" s="2"/>
      <c r="L58" s="2" t="s">
        <v>1877</v>
      </c>
      <c r="M58" s="2" t="s">
        <v>1875</v>
      </c>
      <c r="N58" s="37" t="s">
        <v>1954</v>
      </c>
    </row>
    <row r="59" spans="1:14" x14ac:dyDescent="0.25">
      <c r="A59" s="6" t="s">
        <v>198</v>
      </c>
      <c r="B59" s="2" t="s">
        <v>591</v>
      </c>
      <c r="C59" s="2">
        <v>2016</v>
      </c>
      <c r="D59" s="32" t="str">
        <f>HYPERLINK("http://cgn.websites.wur.nl/website/pictures/Special_collection_CGNSC002/Juveniles/TKI 068 (2016-05-02).JPG","Yes")</f>
        <v>Yes</v>
      </c>
      <c r="E59" s="34" t="str">
        <f>HYPERLINK("http://cgn.websites.wur.nl/website/pictures/Special_collection_CGNSC002/Adults/TKI 068 (2016-05-26).JPG","Yes")</f>
        <v>Yes</v>
      </c>
      <c r="F59" s="33" t="str">
        <f>HYPERLINK("http://cgn.websites.wur.nl/website/pictures/Special_collection_CGNSC002/Flowers/TKI 068 (2016-09-08).JPG","Yes")</f>
        <v>Yes</v>
      </c>
      <c r="G59" s="33" t="str">
        <f>HYPERLINK("http://cgn.websites.wur.nl/website/pictures/Special_collection_CGNSC002/Seeds/TKI 068 (2016-11-30).JPG","Yes")</f>
        <v>Yes</v>
      </c>
      <c r="H59" s="1" t="s">
        <v>588</v>
      </c>
      <c r="I59" s="2"/>
      <c r="J59" s="15">
        <v>154</v>
      </c>
      <c r="K59" s="2"/>
      <c r="L59" s="2" t="s">
        <v>1877</v>
      </c>
      <c r="M59" s="2"/>
      <c r="N59" s="37" t="s">
        <v>1955</v>
      </c>
    </row>
    <row r="60" spans="1:14" x14ac:dyDescent="0.25">
      <c r="A60" s="6" t="s">
        <v>199</v>
      </c>
      <c r="B60" s="2" t="s">
        <v>591</v>
      </c>
      <c r="C60" s="2">
        <v>2016</v>
      </c>
      <c r="D60" s="32" t="str">
        <f>HYPERLINK("http://cgn.websites.wur.nl/website/pictures/Special_collection_CGNSC002/Juveniles/TKI 069 (2016-05-02).JPG","Yes")</f>
        <v>Yes</v>
      </c>
      <c r="E60" s="34" t="str">
        <f>HYPERLINK("http://cgn.websites.wur.nl/website/pictures/Special_collection_CGNSC002/Adults/TKI 069 (2016-05-26).JPG","Yes")</f>
        <v>Yes</v>
      </c>
      <c r="F60" s="33" t="str">
        <f>HYPERLINK("http://cgn.websites.wur.nl/website/pictures/Special_collection_CGNSC002/Flowers/TKI 069 (2016-07-21).JPG","Yes")</f>
        <v>Yes</v>
      </c>
      <c r="G60" s="33" t="str">
        <f>HYPERLINK("http://cgn.websites.wur.nl/website/pictures/Special_collection_CGNSC002/Seeds/TKI 069 (2016-11-30).JPG","Yes")</f>
        <v>Yes</v>
      </c>
      <c r="H60" s="1" t="s">
        <v>587</v>
      </c>
      <c r="I60" s="2"/>
      <c r="J60" s="15">
        <v>123</v>
      </c>
      <c r="K60" s="2"/>
      <c r="L60" s="2" t="s">
        <v>1877</v>
      </c>
      <c r="M60" s="2" t="s">
        <v>1875</v>
      </c>
      <c r="N60" s="37" t="s">
        <v>1956</v>
      </c>
    </row>
    <row r="61" spans="1:14" x14ac:dyDescent="0.25">
      <c r="A61" s="6" t="s">
        <v>200</v>
      </c>
      <c r="B61" s="2" t="s">
        <v>591</v>
      </c>
      <c r="C61" s="2">
        <v>2016</v>
      </c>
      <c r="D61" s="32" t="str">
        <f>HYPERLINK("http://cgn.websites.wur.nl/website/pictures/Special_collection_CGNSC002/Juveniles/TKI 070 (2016-05-02).JPG","Yes")</f>
        <v>Yes</v>
      </c>
      <c r="E61" s="34" t="str">
        <f>HYPERLINK("http://cgn.websites.wur.nl/website/pictures/Special_collection_CGNSC002/Adults/TKI 070 (2016-05-26).JPG","Yes")</f>
        <v>Yes</v>
      </c>
      <c r="F61" s="33" t="str">
        <f>HYPERLINK("http://cgn.websites.wur.nl/website/pictures/Special_collection_CGNSC002/Flowers/TKI 070 (2016-08-01).JPG","Yes")</f>
        <v>Yes</v>
      </c>
      <c r="G61" s="33" t="str">
        <f>HYPERLINK("http://cgn.websites.wur.nl/website/pictures/Special_collection_CGNSC002/Seeds/TKI 070 (2016-11-30).JPG","Yes")</f>
        <v>Yes</v>
      </c>
      <c r="H61" s="1" t="s">
        <v>587</v>
      </c>
      <c r="I61" s="2"/>
      <c r="J61" s="15">
        <v>130</v>
      </c>
      <c r="K61" s="2"/>
      <c r="L61" s="2" t="s">
        <v>1877</v>
      </c>
      <c r="M61" s="2" t="s">
        <v>1875</v>
      </c>
      <c r="N61" s="37" t="s">
        <v>1957</v>
      </c>
    </row>
    <row r="62" spans="1:14" x14ac:dyDescent="0.25">
      <c r="A62" s="6" t="s">
        <v>201</v>
      </c>
      <c r="B62" s="2" t="s">
        <v>591</v>
      </c>
      <c r="C62" s="2">
        <v>2016</v>
      </c>
      <c r="D62" s="32" t="str">
        <f>HYPERLINK("http://cgn.websites.wur.nl/website/pictures/Special_collection_CGNSC002/Juveniles/TKI 071 (2016-05-02).JPG","Yes")</f>
        <v>Yes</v>
      </c>
      <c r="E62" s="34" t="str">
        <f>HYPERLINK("http://cgn.websites.wur.nl/website/pictures/Special_collection_CGNSC002/Adults/TKI 071 (2016-05-26).JPG","Yes")</f>
        <v>Yes</v>
      </c>
      <c r="F62" s="33" t="str">
        <f>HYPERLINK("http://cgn.websites.wur.nl/website/pictures/Special_collection_CGNSC002/Flowers/TKI 071 (2016-07-21).JPG","Yes")</f>
        <v>Yes</v>
      </c>
      <c r="G62" s="33" t="str">
        <f>HYPERLINK("http://cgn.websites.wur.nl/website/pictures/Special_collection_CGNSC002/Seeds/TKI 071 (2016-11-30).JPG","Yes")</f>
        <v>Yes</v>
      </c>
      <c r="H62" s="1" t="s">
        <v>588</v>
      </c>
      <c r="I62" s="2"/>
      <c r="J62" s="15">
        <v>116</v>
      </c>
      <c r="K62" s="2"/>
      <c r="L62" s="2" t="s">
        <v>1877</v>
      </c>
      <c r="M62" s="2" t="s">
        <v>1875</v>
      </c>
      <c r="N62" s="37" t="s">
        <v>1958</v>
      </c>
    </row>
    <row r="63" spans="1:14" x14ac:dyDescent="0.25">
      <c r="A63" s="6" t="s">
        <v>202</v>
      </c>
      <c r="B63" s="2" t="s">
        <v>591</v>
      </c>
      <c r="C63" s="2">
        <v>2016</v>
      </c>
      <c r="D63" s="32" t="str">
        <f>HYPERLINK("http://cgn.websites.wur.nl/website/pictures/Special_collection_CGNSC002/Juveniles/TKI 072 (2016-05-02).JPG","Yes")</f>
        <v>Yes</v>
      </c>
      <c r="E63" s="34" t="str">
        <f>HYPERLINK("http://cgn.websites.wur.nl/website/pictures/Special_collection_CGNSC002/Adults/TKI 072 (2016-05-26).JPG","Yes")</f>
        <v>Yes</v>
      </c>
      <c r="F63" s="33" t="str">
        <f>HYPERLINK("http://cgn.websites.wur.nl/website/pictures/Special_collection_CGNSC002/Flowers/TKI 072 (2016-07-14).JPG","Yes")</f>
        <v>Yes</v>
      </c>
      <c r="G63" s="33" t="str">
        <f>HYPERLINK("http://cgn.websites.wur.nl/website/pictures/Special_collection_CGNSC002/Seeds/TKI 072 (2016-11-30).JPG","Yes")</f>
        <v>Yes</v>
      </c>
      <c r="H63" s="1" t="s">
        <v>587</v>
      </c>
      <c r="I63" s="2"/>
      <c r="J63" s="15">
        <v>111</v>
      </c>
      <c r="K63" s="2"/>
      <c r="L63" s="2" t="s">
        <v>1877</v>
      </c>
      <c r="M63" s="2"/>
      <c r="N63" s="37" t="s">
        <v>1959</v>
      </c>
    </row>
    <row r="64" spans="1:14" x14ac:dyDescent="0.25">
      <c r="A64" s="6" t="s">
        <v>203</v>
      </c>
      <c r="B64" s="2" t="s">
        <v>591</v>
      </c>
      <c r="C64" s="2">
        <v>2016</v>
      </c>
      <c r="D64" s="32" t="str">
        <f>HYPERLINK("http://cgn.websites.wur.nl/website/pictures/Special_collection_CGNSC002/Juveniles/TKI 073 (2016-05-02).JPG","Yes")</f>
        <v>Yes</v>
      </c>
      <c r="E64" s="34" t="str">
        <f>HYPERLINK("http://cgn.websites.wur.nl/website/pictures/Special_collection_CGNSC002/Adults/TKI 073 (2016-05-26).JPG","Yes")</f>
        <v>Yes</v>
      </c>
      <c r="F64" s="33" t="str">
        <f>HYPERLINK("http://cgn.websites.wur.nl/website/pictures/Special_collection_CGNSC002/Flowers/TKI 073 (2016-09-08).JPG","Yes")</f>
        <v>Yes</v>
      </c>
      <c r="G64" s="33" t="str">
        <f>HYPERLINK("http://cgn.websites.wur.nl/website/pictures/Special_collection_CGNSC002/Seeds/TKI 073 (2016-11-30).JPG","Yes")</f>
        <v>Yes</v>
      </c>
      <c r="H64" s="1" t="s">
        <v>587</v>
      </c>
      <c r="I64" s="2"/>
      <c r="J64" s="15">
        <v>165</v>
      </c>
      <c r="K64" s="2"/>
      <c r="L64" s="2" t="s">
        <v>1877</v>
      </c>
      <c r="M64" s="2"/>
      <c r="N64" s="37" t="s">
        <v>1960</v>
      </c>
    </row>
    <row r="65" spans="1:14" x14ac:dyDescent="0.25">
      <c r="A65" s="6" t="s">
        <v>204</v>
      </c>
      <c r="B65" s="2" t="s">
        <v>591</v>
      </c>
      <c r="C65" s="2">
        <v>2016</v>
      </c>
      <c r="D65" s="32" t="str">
        <f>HYPERLINK("http://cgn.websites.wur.nl/website/pictures/Special_collection_CGNSC002/Juveniles/TKI 074 (2016-05-02).JPG","Yes")</f>
        <v>Yes</v>
      </c>
      <c r="E65" s="34" t="str">
        <f>HYPERLINK("http://cgn.websites.wur.nl/website/pictures/Special_collection_CGNSC002/Adults/TKI 074 (2016-05-26).JPG","Yes")</f>
        <v>Yes</v>
      </c>
      <c r="F65" s="33" t="str">
        <f>HYPERLINK("http://cgn.websites.wur.nl/website/pictures/Special_collection_CGNSC002/Flowers/TKI 074 (2016-08-08).JPG","Yes")</f>
        <v>Yes</v>
      </c>
      <c r="G65" s="33" t="str">
        <f>HYPERLINK("http://cgn.websites.wur.nl/website/pictures/Special_collection_CGNSC002/Seeds/TKI 074 (2016-11-30).JPG","Yes")</f>
        <v>Yes</v>
      </c>
      <c r="H65" s="1" t="s">
        <v>587</v>
      </c>
      <c r="I65" s="2"/>
      <c r="J65" s="15">
        <v>137</v>
      </c>
      <c r="K65" s="2"/>
      <c r="L65" s="2" t="s">
        <v>1877</v>
      </c>
      <c r="M65" s="2"/>
      <c r="N65" s="37" t="s">
        <v>1961</v>
      </c>
    </row>
    <row r="66" spans="1:14" x14ac:dyDescent="0.25">
      <c r="A66" s="6" t="s">
        <v>205</v>
      </c>
      <c r="B66" s="2" t="s">
        <v>591</v>
      </c>
      <c r="C66" s="2">
        <v>2016</v>
      </c>
      <c r="D66" s="32" t="str">
        <f>HYPERLINK("http://cgn.websites.wur.nl/website/pictures/Special_collection_CGNSC002/Juveniles/TKI 075 (2016-05-02).JPG","Yes")</f>
        <v>Yes</v>
      </c>
      <c r="E66" s="34" t="str">
        <f>HYPERLINK("http://cgn.websites.wur.nl/website/pictures/Special_collection_CGNSC002/Adults/TKI 075 (2016-05-26).JPG","Yes")</f>
        <v>Yes</v>
      </c>
      <c r="F66" s="33" t="str">
        <f>HYPERLINK("http://cgn.websites.wur.nl/website/pictures/Special_collection_CGNSC002/Flowers/TKI 075 (2016-08-01).JPG","Yes")</f>
        <v>Yes</v>
      </c>
      <c r="G66" s="33" t="str">
        <f>HYPERLINK("http://cgn.websites.wur.nl/website/pictures/Special_collection_CGNSC002/Seeds/TKI 075 (2016-11-30).JPG","Yes")</f>
        <v>Yes</v>
      </c>
      <c r="H66" s="1" t="s">
        <v>587</v>
      </c>
      <c r="I66" s="2"/>
      <c r="J66" s="15">
        <v>123</v>
      </c>
      <c r="K66" s="2"/>
      <c r="L66" s="2" t="s">
        <v>1877</v>
      </c>
      <c r="M66" s="2"/>
      <c r="N66" s="37" t="s">
        <v>1962</v>
      </c>
    </row>
    <row r="67" spans="1:14" x14ac:dyDescent="0.25">
      <c r="A67" s="6" t="s">
        <v>206</v>
      </c>
      <c r="B67" s="2" t="s">
        <v>591</v>
      </c>
      <c r="C67" s="2">
        <v>2016</v>
      </c>
      <c r="D67" s="32" t="str">
        <f>HYPERLINK("http://cgn.websites.wur.nl/website/pictures/Special_collection_CGNSC002/Juveniles/TKI 076 (2016-05-02).JPG","Yes")</f>
        <v>Yes</v>
      </c>
      <c r="E67" s="34" t="str">
        <f>HYPERLINK("http://cgn.websites.wur.nl/website/pictures/Special_collection_CGNSC002/Adults/TKI 076 (2016-05-26).JPG","Yes")</f>
        <v>Yes</v>
      </c>
      <c r="F67" s="33" t="str">
        <f>HYPERLINK("http://cgn.websites.wur.nl/website/pictures/Special_collection_CGNSC002/Flowers/TKI 076 (2016-07-21).JPG","Yes")</f>
        <v>Yes</v>
      </c>
      <c r="G67" s="33" t="str">
        <f>HYPERLINK("http://cgn.websites.wur.nl/website/pictures/Special_collection_CGNSC002/Seeds/TKI 076 (2016-11-30).JPG","Yes")</f>
        <v>Yes</v>
      </c>
      <c r="H67" s="1" t="s">
        <v>587</v>
      </c>
      <c r="I67" s="2"/>
      <c r="J67" s="15">
        <v>123</v>
      </c>
      <c r="K67" s="2"/>
      <c r="L67" s="2" t="s">
        <v>1877</v>
      </c>
      <c r="M67" s="2"/>
      <c r="N67" s="37" t="s">
        <v>1963</v>
      </c>
    </row>
    <row r="68" spans="1:14" x14ac:dyDescent="0.25">
      <c r="A68" s="6" t="s">
        <v>207</v>
      </c>
      <c r="B68" s="2" t="s">
        <v>591</v>
      </c>
      <c r="C68" s="2">
        <v>2016</v>
      </c>
      <c r="D68" s="32" t="str">
        <f>HYPERLINK("http://cgn.websites.wur.nl/website/pictures/Special_collection_CGNSC002/Juveniles/TKI 077 (2016-05-02).JPG","Yes")</f>
        <v>Yes</v>
      </c>
      <c r="E68" s="34" t="str">
        <f>HYPERLINK("http://cgn.websites.wur.nl/website/pictures/Special_collection_CGNSC002/Adults/TKI 077 (2016-05-26).JPG","Yes")</f>
        <v>Yes</v>
      </c>
      <c r="F68" s="33" t="str">
        <f>HYPERLINK("http://cgn.websites.wur.nl/website/pictures/Special_collection_CGNSC002/Flowers/TKI 077 (2016-08-08).JPG","Yes")</f>
        <v>Yes</v>
      </c>
      <c r="G68" s="33" t="str">
        <f>HYPERLINK("http://cgn.websites.wur.nl/website/pictures/Special_collection_CGNSC002/Seeds/TKI 077 (2016-11-30).JPG","Yes")</f>
        <v>Yes</v>
      </c>
      <c r="H68" s="1" t="s">
        <v>587</v>
      </c>
      <c r="I68" s="2"/>
      <c r="J68" s="15">
        <v>137</v>
      </c>
      <c r="K68" s="2"/>
      <c r="L68" s="2" t="s">
        <v>1877</v>
      </c>
      <c r="M68" s="2" t="s">
        <v>1875</v>
      </c>
      <c r="N68" s="37" t="s">
        <v>1964</v>
      </c>
    </row>
    <row r="69" spans="1:14" x14ac:dyDescent="0.25">
      <c r="A69" s="6" t="s">
        <v>208</v>
      </c>
      <c r="B69" s="2" t="s">
        <v>591</v>
      </c>
      <c r="C69" s="2">
        <v>2016</v>
      </c>
      <c r="D69" s="32" t="str">
        <f>HYPERLINK("http://cgn.websites.wur.nl/website/pictures/Special_collection_CGNSC002/Juveniles/TKI 078 (2016-05-02).JPG","Yes")</f>
        <v>Yes</v>
      </c>
      <c r="E69" s="34" t="str">
        <f>HYPERLINK("http://cgn.websites.wur.nl/website/pictures/Special_collection_CGNSC002/Adults/TKI 078 (2016-05-26).JPG","Yes")</f>
        <v>Yes</v>
      </c>
      <c r="F69" s="33" t="str">
        <f>HYPERLINK("http://cgn.websites.wur.nl/website/pictures/Special_collection_CGNSC002/Flowers/TKI 078 (2016-08-01).JPG","Yes")</f>
        <v>Yes</v>
      </c>
      <c r="G69" s="33" t="str">
        <f>HYPERLINK("http://cgn.websites.wur.nl/website/pictures/Special_collection_CGNSC002/Seeds/TKI 078 (2016-11-30).JPG","Yes")</f>
        <v>Yes</v>
      </c>
      <c r="H69" s="1" t="s">
        <v>587</v>
      </c>
      <c r="I69" s="2"/>
      <c r="J69" s="15">
        <v>123</v>
      </c>
      <c r="K69" s="2"/>
      <c r="L69" s="2" t="s">
        <v>1877</v>
      </c>
      <c r="M69" s="2" t="s">
        <v>1875</v>
      </c>
      <c r="N69" s="37" t="s">
        <v>1965</v>
      </c>
    </row>
    <row r="70" spans="1:14" x14ac:dyDescent="0.25">
      <c r="A70" s="6" t="s">
        <v>209</v>
      </c>
      <c r="B70" s="2" t="s">
        <v>591</v>
      </c>
      <c r="C70" s="2">
        <v>2016</v>
      </c>
      <c r="D70" s="32" t="str">
        <f>HYPERLINK("http://cgn.websites.wur.nl/website/pictures/Special_collection_CGNSC002/Juveniles/TKI 079 (2016-05-02).JPG","Yes")</f>
        <v>Yes</v>
      </c>
      <c r="E70" s="34" t="str">
        <f>HYPERLINK("http://cgn.websites.wur.nl/website/pictures/Special_collection_CGNSC002/Adults/TKI 079 (2016-05-26).JPG","Yes")</f>
        <v>Yes</v>
      </c>
      <c r="F70" s="33" t="str">
        <f>HYPERLINK("http://cgn.websites.wur.nl/website/pictures/Special_collection_CGNSC002/Flowers/TKI 079 (2016-08-08).JPG","Yes")</f>
        <v>Yes</v>
      </c>
      <c r="G70" s="33" t="str">
        <f>HYPERLINK("http://cgn.websites.wur.nl/website/pictures/Special_collection_CGNSC002/Seeds/TKI 079 (2016-11-30).JPG","Yes")</f>
        <v>Yes</v>
      </c>
      <c r="H70" s="1" t="s">
        <v>588</v>
      </c>
      <c r="I70" s="2"/>
      <c r="J70" s="15">
        <v>137</v>
      </c>
      <c r="K70" s="2"/>
      <c r="L70" s="2" t="s">
        <v>1877</v>
      </c>
      <c r="M70" s="2" t="s">
        <v>1875</v>
      </c>
      <c r="N70" s="37" t="s">
        <v>1966</v>
      </c>
    </row>
    <row r="71" spans="1:14" x14ac:dyDescent="0.25">
      <c r="A71" s="6" t="s">
        <v>210</v>
      </c>
      <c r="B71" s="2" t="s">
        <v>591</v>
      </c>
      <c r="C71" s="2">
        <v>2016</v>
      </c>
      <c r="D71" s="32" t="str">
        <f>HYPERLINK("http://cgn.websites.wur.nl/website/pictures/Special_collection_CGNSC002/Juveniles/TKI 080 (2016-05-02).JPG","Yes")</f>
        <v>Yes</v>
      </c>
      <c r="E71" s="34" t="str">
        <f>HYPERLINK("http://cgn.websites.wur.nl/website/pictures/Special_collection_CGNSC002/Adults/TKI 080 (2016-05-26).JPG","Yes")</f>
        <v>Yes</v>
      </c>
      <c r="F71" s="33" t="str">
        <f>HYPERLINK("http://cgn.websites.wur.nl/website/pictures/Special_collection_CGNSC002/Flowers/TKI 080 (2016-07-11).JPG","Yes")</f>
        <v>Yes</v>
      </c>
      <c r="G71" s="33" t="str">
        <f>HYPERLINK("http://cgn.websites.wur.nl/website/pictures/Special_collection_CGNSC002/Seeds/TKI 080 (2016-11-30).JPG","Yes")</f>
        <v>Yes</v>
      </c>
      <c r="H71" s="1" t="s">
        <v>588</v>
      </c>
      <c r="I71" s="2"/>
      <c r="J71" s="15">
        <v>111</v>
      </c>
      <c r="K71" s="2"/>
      <c r="L71" s="2" t="s">
        <v>1877</v>
      </c>
      <c r="M71" s="2"/>
      <c r="N71" s="37" t="s">
        <v>1967</v>
      </c>
    </row>
    <row r="72" spans="1:14" x14ac:dyDescent="0.25">
      <c r="A72" s="6" t="s">
        <v>211</v>
      </c>
      <c r="B72" s="2" t="s">
        <v>591</v>
      </c>
      <c r="C72" s="2">
        <v>2016</v>
      </c>
      <c r="D72" s="32" t="str">
        <f>HYPERLINK("http://cgn.websites.wur.nl/website/pictures/Special_collection_CGNSC002/Juveniles/TKI 081 (2016-05-02).JPG","Yes")</f>
        <v>Yes</v>
      </c>
      <c r="E72" s="34" t="str">
        <f>HYPERLINK("http://cgn.websites.wur.nl/website/pictures/Special_collection_CGNSC002/Adults/TKI 081 (2016-05-26).JPG","Yes")</f>
        <v>Yes</v>
      </c>
      <c r="F72" s="33" t="str">
        <f>HYPERLINK("http://cgn.websites.wur.nl/website/pictures/Special_collection_CGNSC002/Flowers/TKI 081 (2016-07-11).JPG","Yes")</f>
        <v>Yes</v>
      </c>
      <c r="G72" s="33" t="str">
        <f>HYPERLINK("http://cgn.websites.wur.nl/website/pictures/Special_collection_CGNSC002/Seeds/TKI 081 (2016-11-30).JPG","Yes")</f>
        <v>Yes</v>
      </c>
      <c r="H72" s="1" t="s">
        <v>588</v>
      </c>
      <c r="I72" s="2"/>
      <c r="J72" s="15">
        <v>111</v>
      </c>
      <c r="K72" s="2"/>
      <c r="L72" s="2" t="s">
        <v>1876</v>
      </c>
      <c r="M72" s="2" t="s">
        <v>1875</v>
      </c>
      <c r="N72" s="37" t="s">
        <v>1968</v>
      </c>
    </row>
    <row r="73" spans="1:14" x14ac:dyDescent="0.25">
      <c r="A73" s="6" t="s">
        <v>212</v>
      </c>
      <c r="B73" s="2" t="s">
        <v>591</v>
      </c>
      <c r="C73" s="2">
        <v>2016</v>
      </c>
      <c r="D73" s="32" t="str">
        <f>HYPERLINK("http://cgn.websites.wur.nl/website/pictures/Special_collection_CGNSC002/Juveniles/TKI 082 (2016-05-02).JPG","Yes")</f>
        <v>Yes</v>
      </c>
      <c r="E73" s="34" t="str">
        <f>HYPERLINK("http://cgn.websites.wur.nl/website/pictures/Special_collection_CGNSC002/Adults/TKI 082 (2016-05-26).JPG","Yes")</f>
        <v>Yes</v>
      </c>
      <c r="F73" s="33" t="str">
        <f>HYPERLINK("http://cgn.websites.wur.nl/website/pictures/Special_collection_CGNSC002/Flowers/TKI 082 (2016-07-21).JPG","Yes")</f>
        <v>Yes</v>
      </c>
      <c r="G73" s="33" t="str">
        <f>HYPERLINK("http://cgn.websites.wur.nl/website/pictures/Special_collection_CGNSC002/Seeds/TKI 082 (2016-11-30).JPG","Yes")</f>
        <v>Yes</v>
      </c>
      <c r="H73" s="1" t="s">
        <v>587</v>
      </c>
      <c r="I73" s="2"/>
      <c r="J73" s="15">
        <v>123</v>
      </c>
      <c r="K73" s="2"/>
      <c r="L73" s="2" t="s">
        <v>1877</v>
      </c>
      <c r="M73" s="2" t="s">
        <v>1875</v>
      </c>
      <c r="N73" s="37" t="s">
        <v>1969</v>
      </c>
    </row>
    <row r="74" spans="1:14" x14ac:dyDescent="0.25">
      <c r="A74" s="6" t="s">
        <v>213</v>
      </c>
      <c r="B74" s="2" t="s">
        <v>591</v>
      </c>
      <c r="C74" s="2">
        <v>2016</v>
      </c>
      <c r="D74" s="32" t="str">
        <f>HYPERLINK("http://cgn.websites.wur.nl/website/pictures/Special_collection_CGNSC002/Juveniles/TKI 083 (2016-05-02).JPG","Yes")</f>
        <v>Yes</v>
      </c>
      <c r="E74" s="34" t="str">
        <f>HYPERLINK("http://cgn.websites.wur.nl/website/pictures/Special_collection_CGNSC002/Adults/TKI 083 (2016-05-26).JPG","Yes")</f>
        <v>Yes</v>
      </c>
      <c r="F74" s="33" t="str">
        <f>HYPERLINK("http://cgn.websites.wur.nl/website/pictures/Special_collection_CGNSC002/Flowers/TKI 083 (2016-08-01).JPG","Yes")</f>
        <v>Yes</v>
      </c>
      <c r="G74" s="33" t="str">
        <f>HYPERLINK("http://cgn.websites.wur.nl/website/pictures/Special_collection_CGNSC002/Seeds/TKI 083 (2016-11-30).JPG","Yes")</f>
        <v>Yes</v>
      </c>
      <c r="H74" s="1" t="s">
        <v>587</v>
      </c>
      <c r="I74" s="2"/>
      <c r="J74" s="15">
        <v>130</v>
      </c>
      <c r="K74" s="2"/>
      <c r="L74" s="2" t="s">
        <v>1876</v>
      </c>
      <c r="M74" s="2" t="s">
        <v>1875</v>
      </c>
      <c r="N74" s="37" t="s">
        <v>1970</v>
      </c>
    </row>
    <row r="75" spans="1:14" x14ac:dyDescent="0.25">
      <c r="A75" s="6" t="s">
        <v>214</v>
      </c>
      <c r="B75" s="2" t="s">
        <v>591</v>
      </c>
      <c r="C75" s="2">
        <v>2016</v>
      </c>
      <c r="D75" s="32" t="str">
        <f>HYPERLINK("http://cgn.websites.wur.nl/website/pictures/Special_collection_CGNSC002/Juveniles/TKI 084 (2016-05-02).JPG","Yes")</f>
        <v>Yes</v>
      </c>
      <c r="E75" s="34" t="str">
        <f>HYPERLINK("http://cgn.websites.wur.nl/website/pictures/Special_collection_CGNSC002/Adults/TKI 084 (2016-05-26).JPG","Yes")</f>
        <v>Yes</v>
      </c>
      <c r="F75" s="33" t="str">
        <f>HYPERLINK("http://cgn.websites.wur.nl/website/pictures/Special_collection_CGNSC002/Flowers/TKI 084 (2016-07-11).JPG","Yes")</f>
        <v>Yes</v>
      </c>
      <c r="G75" s="33" t="str">
        <f>HYPERLINK("http://cgn.websites.wur.nl/website/pictures/Special_collection_CGNSC002/Seeds/TKI 084 (2016-11-30).JPG","Yes")</f>
        <v>Yes</v>
      </c>
      <c r="H75" s="1" t="s">
        <v>587</v>
      </c>
      <c r="I75" s="2"/>
      <c r="J75" s="15">
        <v>111</v>
      </c>
      <c r="K75" s="2"/>
      <c r="L75" s="2" t="s">
        <v>1877</v>
      </c>
      <c r="M75" s="2"/>
      <c r="N75" s="37" t="s">
        <v>1971</v>
      </c>
    </row>
    <row r="76" spans="1:14" x14ac:dyDescent="0.25">
      <c r="A76" s="6" t="s">
        <v>215</v>
      </c>
      <c r="B76" s="2" t="s">
        <v>591</v>
      </c>
      <c r="C76" s="2">
        <v>2016</v>
      </c>
      <c r="D76" s="32" t="str">
        <f>HYPERLINK("http://cgn.websites.wur.nl/website/pictures/Special_collection_CGNSC002/Juveniles/TKI 085 (2016-05-02).JPG","Yes")</f>
        <v>Yes</v>
      </c>
      <c r="E76" s="34" t="str">
        <f>HYPERLINK("http://cgn.websites.wur.nl/website/pictures/Special_collection_CGNSC002/Adults/TKI 085 (2016-05-26).JPG","Yes")</f>
        <v>Yes</v>
      </c>
      <c r="F76" s="33" t="str">
        <f>HYPERLINK("http://cgn.websites.wur.nl/website/pictures/Special_collection_CGNSC002/Flowers/TKI 085 (2016-07-11).JPG","Yes")</f>
        <v>Yes</v>
      </c>
      <c r="G76" s="33" t="str">
        <f>HYPERLINK("http://cgn.websites.wur.nl/website/pictures/Special_collection_CGNSC002/Seeds/TKI 085 (2016-11-30).JPG","Yes")</f>
        <v>Yes</v>
      </c>
      <c r="H76" s="1" t="s">
        <v>588</v>
      </c>
      <c r="I76" s="2"/>
      <c r="J76" s="15">
        <v>111</v>
      </c>
      <c r="K76" s="2"/>
      <c r="L76" s="2" t="s">
        <v>1877</v>
      </c>
      <c r="M76" s="2" t="s">
        <v>1875</v>
      </c>
      <c r="N76" s="37" t="s">
        <v>1972</v>
      </c>
    </row>
    <row r="77" spans="1:14" x14ac:dyDescent="0.25">
      <c r="A77" s="6" t="s">
        <v>216</v>
      </c>
      <c r="B77" s="2" t="s">
        <v>591</v>
      </c>
      <c r="C77" s="2">
        <v>2016</v>
      </c>
      <c r="D77" s="32" t="str">
        <f>HYPERLINK("http://cgn.websites.wur.nl/website/pictures/Special_collection_CGNSC002/Juveniles/TKI 086 (2016-05-02).JPG","Yes")</f>
        <v>Yes</v>
      </c>
      <c r="E77" s="34" t="str">
        <f>HYPERLINK("http://cgn.websites.wur.nl/website/pictures/Special_collection_CGNSC002/Adults/TKI 086 (2016-05-26).JPG","Yes")</f>
        <v>Yes</v>
      </c>
      <c r="F77" s="33" t="str">
        <f>HYPERLINK("http://cgn.websites.wur.nl/website/pictures/Special_collection_CGNSC002/Flowers/TKI 086 (2016-07-14).JPG","Yes")</f>
        <v>Yes</v>
      </c>
      <c r="G77" s="33" t="str">
        <f>HYPERLINK("http://cgn.websites.wur.nl/website/pictures/Special_collection_CGNSC002/Seeds/TKI 086 (2016-11-30).JPG","Yes")</f>
        <v>Yes</v>
      </c>
      <c r="H77" s="1" t="s">
        <v>587</v>
      </c>
      <c r="I77" s="2"/>
      <c r="J77" s="15">
        <v>111</v>
      </c>
      <c r="K77" s="2"/>
      <c r="L77" s="2" t="s">
        <v>1877</v>
      </c>
      <c r="M77" s="2"/>
      <c r="N77" s="37" t="s">
        <v>1973</v>
      </c>
    </row>
    <row r="78" spans="1:14" x14ac:dyDescent="0.25">
      <c r="A78" s="6" t="s">
        <v>217</v>
      </c>
      <c r="B78" s="2" t="s">
        <v>591</v>
      </c>
      <c r="C78" s="2">
        <v>2016</v>
      </c>
      <c r="D78" s="32" t="str">
        <f>HYPERLINK("http://cgn.websites.wur.nl/website/pictures/Special_collection_CGNSC002/Juveniles/TKI 087 (2016-05-02).JPG","Yes")</f>
        <v>Yes</v>
      </c>
      <c r="E78" s="34" t="str">
        <f>HYPERLINK("http://cgn.websites.wur.nl/website/pictures/Special_collection_CGNSC002/Adults/TKI 087 (2016-05-26).JPG","Yes")</f>
        <v>Yes</v>
      </c>
      <c r="F78" s="33" t="str">
        <f>HYPERLINK("http://cgn.websites.wur.nl/website/pictures/Special_collection_CGNSC002/Flowers/TKI 087 (2016-07-28).JPG","Yes")</f>
        <v>Yes</v>
      </c>
      <c r="G78" s="33" t="str">
        <f>HYPERLINK("http://cgn.websites.wur.nl/website/pictures/Special_collection_CGNSC002/Seeds/TKI 087 (2016-11-30).JPG","Yes")</f>
        <v>Yes</v>
      </c>
      <c r="H78" s="1" t="s">
        <v>588</v>
      </c>
      <c r="I78" s="2"/>
      <c r="J78" s="15">
        <v>123</v>
      </c>
      <c r="K78" s="2"/>
      <c r="L78" s="2" t="s">
        <v>1877</v>
      </c>
      <c r="M78" s="2"/>
      <c r="N78" s="37" t="s">
        <v>1974</v>
      </c>
    </row>
    <row r="79" spans="1:14" x14ac:dyDescent="0.25">
      <c r="A79" s="6" t="s">
        <v>218</v>
      </c>
      <c r="B79" s="2" t="s">
        <v>591</v>
      </c>
      <c r="C79" s="2">
        <v>2016</v>
      </c>
      <c r="D79" s="32" t="str">
        <f>HYPERLINK("http://cgn.websites.wur.nl/website/pictures/Special_collection_CGNSC002/Juveniles/TKI 088 (2016-05-02).JPG","Yes")</f>
        <v>Yes</v>
      </c>
      <c r="E79" s="34" t="str">
        <f>HYPERLINK("http://cgn.websites.wur.nl/website/pictures/Special_collection_CGNSC002/Adults/TKI 088 (2016-05-26).JPG","Yes")</f>
        <v>Yes</v>
      </c>
      <c r="F79" s="33" t="str">
        <f>HYPERLINK("http://cgn.websites.wur.nl/website/pictures/Special_collection_CGNSC002/Flowers/TKI 088 (2016-07-14).JPG","Yes")</f>
        <v>Yes</v>
      </c>
      <c r="G79" s="33" t="str">
        <f>HYPERLINK("http://cgn.websites.wur.nl/website/pictures/Special_collection_CGNSC002/Seeds/TKI 088 (2016-11-30).JPG","Yes")</f>
        <v>Yes</v>
      </c>
      <c r="H79" s="1" t="s">
        <v>588</v>
      </c>
      <c r="I79" s="2"/>
      <c r="J79" s="15">
        <v>111</v>
      </c>
      <c r="K79" s="2"/>
      <c r="L79" s="2" t="s">
        <v>1876</v>
      </c>
      <c r="M79" s="2" t="s">
        <v>1875</v>
      </c>
      <c r="N79" s="37" t="s">
        <v>1975</v>
      </c>
    </row>
    <row r="80" spans="1:14" x14ac:dyDescent="0.25">
      <c r="A80" s="6" t="s">
        <v>219</v>
      </c>
      <c r="B80" s="2" t="s">
        <v>591</v>
      </c>
      <c r="C80" s="2">
        <v>2016</v>
      </c>
      <c r="D80" s="32" t="str">
        <f>HYPERLINK("http://cgn.websites.wur.nl/website/pictures/Special_collection_CGNSC002/Juveniles/TKI 089 (2016-05-02).JPG","Yes")</f>
        <v>Yes</v>
      </c>
      <c r="E80" s="34" t="str">
        <f>HYPERLINK("http://cgn.websites.wur.nl/website/pictures/Special_collection_CGNSC002/Adults/TKI 089 (2016-05-26).JPG","Yes")</f>
        <v>Yes</v>
      </c>
      <c r="F80" s="33" t="str">
        <f>HYPERLINK("http://cgn.websites.wur.nl/website/pictures/Special_collection_CGNSC002/Flowers/TKI 089 (2016-07-14).JPG","Yes")</f>
        <v>Yes</v>
      </c>
      <c r="G80" s="33" t="str">
        <f>HYPERLINK("http://cgn.websites.wur.nl/website/pictures/Special_collection_CGNSC002/Seeds/TKI 089 (2016-11-30).JPG","Yes")</f>
        <v>Yes</v>
      </c>
      <c r="H80" s="1" t="s">
        <v>588</v>
      </c>
      <c r="I80" s="2"/>
      <c r="J80" s="15">
        <v>111</v>
      </c>
      <c r="K80" s="2"/>
      <c r="L80" s="2" t="s">
        <v>1877</v>
      </c>
      <c r="M80" s="2" t="s">
        <v>1875</v>
      </c>
      <c r="N80" s="37" t="s">
        <v>1976</v>
      </c>
    </row>
    <row r="81" spans="1:14" x14ac:dyDescent="0.25">
      <c r="A81" s="6" t="s">
        <v>220</v>
      </c>
      <c r="B81" s="2" t="s">
        <v>591</v>
      </c>
      <c r="C81" s="2">
        <v>2016</v>
      </c>
      <c r="D81" s="32" t="str">
        <f>HYPERLINK("http://cgn.websites.wur.nl/website/pictures/Special_collection_CGNSC002/Juveniles/TKI 090 (2016-05-02).JPG","Yes")</f>
        <v>Yes</v>
      </c>
      <c r="E81" s="34" t="str">
        <f>HYPERLINK("http://cgn.websites.wur.nl/website/pictures/Special_collection_CGNSC002/Adults/TKI 090 (2016-05-26).JPG","Yes")</f>
        <v>Yes</v>
      </c>
      <c r="F81" s="33" t="str">
        <f>HYPERLINK("http://cgn.websites.wur.nl/website/pictures/Special_collection_CGNSC002/Flowers/TKI 090 (2016-07-28).JPG","Yes")</f>
        <v>Yes</v>
      </c>
      <c r="G81" s="33" t="str">
        <f>HYPERLINK("http://cgn.websites.wur.nl/website/pictures/Special_collection_CGNSC002/Seeds/TKI 090 (2016-11-30).JPG","Yes")</f>
        <v>Yes</v>
      </c>
      <c r="H81" s="1" t="s">
        <v>588</v>
      </c>
      <c r="I81" s="2"/>
      <c r="J81" s="15">
        <v>130</v>
      </c>
      <c r="K81" s="2"/>
      <c r="L81" s="2" t="s">
        <v>1877</v>
      </c>
      <c r="M81" s="2" t="s">
        <v>1875</v>
      </c>
      <c r="N81" s="37" t="s">
        <v>1977</v>
      </c>
    </row>
    <row r="82" spans="1:14" x14ac:dyDescent="0.25">
      <c r="A82" s="6" t="s">
        <v>221</v>
      </c>
      <c r="B82" s="2" t="s">
        <v>591</v>
      </c>
      <c r="C82" s="2">
        <v>2016</v>
      </c>
      <c r="D82" s="32" t="str">
        <f>HYPERLINK("http://cgn.websites.wur.nl/website/pictures/Special_collection_CGNSC002/Juveniles/TKI 091 (2016-05-02).JPG","Yes")</f>
        <v>Yes</v>
      </c>
      <c r="E82" s="34" t="str">
        <f>HYPERLINK("http://cgn.websites.wur.nl/website/pictures/Special_collection_CGNSC002/Adults/TKI 091 (2016-05-26).JPG","Yes")</f>
        <v>Yes</v>
      </c>
      <c r="F82" s="33" t="str">
        <f>HYPERLINK("http://cgn.websites.wur.nl/website/pictures/Special_collection_CGNSC002/Flowers/TKI 091 (2016-07-28).JPG","Yes")</f>
        <v>Yes</v>
      </c>
      <c r="G82" s="33" t="str">
        <f>HYPERLINK("http://cgn.websites.wur.nl/website/pictures/Special_collection_CGNSC002/Seeds/TKI 091 (2016-11-30).JPG","Yes")</f>
        <v>Yes</v>
      </c>
      <c r="H82" s="1" t="s">
        <v>588</v>
      </c>
      <c r="I82" s="2"/>
      <c r="J82" s="15">
        <v>123</v>
      </c>
      <c r="K82" s="2"/>
      <c r="L82" s="2" t="s">
        <v>1877</v>
      </c>
      <c r="M82" s="2" t="s">
        <v>1875</v>
      </c>
      <c r="N82" s="37" t="s">
        <v>1978</v>
      </c>
    </row>
    <row r="83" spans="1:14" x14ac:dyDescent="0.25">
      <c r="A83" s="6" t="s">
        <v>222</v>
      </c>
      <c r="B83" s="2" t="s">
        <v>591</v>
      </c>
      <c r="C83" s="2">
        <v>2016</v>
      </c>
      <c r="D83" s="32" t="str">
        <f>HYPERLINK("http://cgn.websites.wur.nl/website/pictures/Special_collection_CGNSC002/Juveniles/TKI 092 (2016-05-02).JPG","Yes")</f>
        <v>Yes</v>
      </c>
      <c r="E83" s="34" t="str">
        <f>HYPERLINK("http://cgn.websites.wur.nl/website/pictures/Special_collection_CGNSC002/Adults/TKI 092 (2016-05-26).JPG","Yes")</f>
        <v>Yes</v>
      </c>
      <c r="F83" s="33" t="str">
        <f>HYPERLINK("http://cgn.websites.wur.nl/website/pictures/Special_collection_CGNSC002/Flowers/TKI 092 (2016-08-08).JPG","Yes")</f>
        <v>Yes</v>
      </c>
      <c r="G83" s="33" t="str">
        <f>HYPERLINK("http://cgn.websites.wur.nl/website/pictures/Special_collection_CGNSC002/Seeds/TKI 092 (2016-11-30).JPG","Yes")</f>
        <v>Yes</v>
      </c>
      <c r="H83" s="1" t="s">
        <v>588</v>
      </c>
      <c r="I83" s="2"/>
      <c r="J83" s="15">
        <v>137</v>
      </c>
      <c r="K83" s="2"/>
      <c r="L83" s="2" t="s">
        <v>1876</v>
      </c>
      <c r="M83" s="2" t="s">
        <v>1875</v>
      </c>
      <c r="N83" s="37" t="s">
        <v>1979</v>
      </c>
    </row>
    <row r="84" spans="1:14" x14ac:dyDescent="0.25">
      <c r="A84" s="6" t="s">
        <v>223</v>
      </c>
      <c r="B84" s="2" t="s">
        <v>591</v>
      </c>
      <c r="C84" s="2">
        <v>2016</v>
      </c>
      <c r="D84" s="32" t="str">
        <f>HYPERLINK("http://cgn.websites.wur.nl/website/pictures/Special_collection_CGNSC002/Juveniles/TKI 093 (2016-05-02).JPG","Yes")</f>
        <v>Yes</v>
      </c>
      <c r="E84" s="34" t="str">
        <f>HYPERLINK("http://cgn.websites.wur.nl/website/pictures/Special_collection_CGNSC002/Adults/TKI 093 (2016-05-26).JPG","Yes")</f>
        <v>Yes</v>
      </c>
      <c r="F84" s="33" t="str">
        <f>HYPERLINK("http://cgn.websites.wur.nl/website/pictures/Special_collection_CGNSC002/Flowers/TKI 093 (2016-07-04).JPG","Yes")</f>
        <v>Yes</v>
      </c>
      <c r="G84" s="33" t="str">
        <f>HYPERLINK("http://cgn.websites.wur.nl/website/pictures/Special_collection_CGNSC002/Seeds/TKI 093 (2016-11-30).JPG","Yes")</f>
        <v>Yes</v>
      </c>
      <c r="H84" s="1" t="s">
        <v>588</v>
      </c>
      <c r="I84" s="2"/>
      <c r="J84" s="15">
        <v>102</v>
      </c>
      <c r="K84" s="2"/>
      <c r="L84" s="2" t="s">
        <v>1876</v>
      </c>
      <c r="M84" s="2" t="s">
        <v>1875</v>
      </c>
      <c r="N84" s="37" t="s">
        <v>1980</v>
      </c>
    </row>
    <row r="85" spans="1:14" x14ac:dyDescent="0.25">
      <c r="A85" s="6" t="s">
        <v>224</v>
      </c>
      <c r="B85" s="2" t="s">
        <v>591</v>
      </c>
      <c r="C85" s="2">
        <v>2016</v>
      </c>
      <c r="D85" s="32" t="str">
        <f>HYPERLINK("http://cgn.websites.wur.nl/website/pictures/Special_collection_CGNSC002/Juveniles/TKI 094 (2016-05-02).JPG","Yes")</f>
        <v>Yes</v>
      </c>
      <c r="E85" s="34" t="str">
        <f>HYPERLINK("http://cgn.websites.wur.nl/website/pictures/Special_collection_CGNSC002/Adults/TKI 094 (2016-05-26).JPG","Yes")</f>
        <v>Yes</v>
      </c>
      <c r="F85" s="33" t="str">
        <f>HYPERLINK("http://cgn.websites.wur.nl/website/pictures/Special_collection_CGNSC002/Flowers/TKI 094 (2016-07-14).JPG","Yes")</f>
        <v>Yes</v>
      </c>
      <c r="G85" s="33" t="str">
        <f>HYPERLINK("http://cgn.websites.wur.nl/website/pictures/Special_collection_CGNSC002/Seeds/TKI 094 (2016-11-30).JPG","Yes")</f>
        <v>Yes</v>
      </c>
      <c r="H85" s="1" t="s">
        <v>588</v>
      </c>
      <c r="I85" s="2"/>
      <c r="J85" s="15">
        <v>102</v>
      </c>
      <c r="K85" s="2"/>
      <c r="L85" s="2" t="s">
        <v>1877</v>
      </c>
      <c r="M85" s="2" t="s">
        <v>1875</v>
      </c>
      <c r="N85" s="37" t="s">
        <v>1981</v>
      </c>
    </row>
    <row r="86" spans="1:14" x14ac:dyDescent="0.25">
      <c r="A86" s="6" t="s">
        <v>225</v>
      </c>
      <c r="B86" s="2" t="s">
        <v>591</v>
      </c>
      <c r="C86" s="2">
        <v>2016</v>
      </c>
      <c r="D86" s="32" t="str">
        <f>HYPERLINK("http://cgn.websites.wur.nl/website/pictures/Special_collection_CGNSC002/Juveniles/TKI 095 (2016-05-02).JPG","Yes")</f>
        <v>Yes</v>
      </c>
      <c r="E86" s="34" t="str">
        <f>HYPERLINK("http://cgn.websites.wur.nl/website/pictures/Special_collection_CGNSC002/Adults/TKI 095 (2016-05-26).JPG","Yes")</f>
        <v>Yes</v>
      </c>
      <c r="F86" s="33" t="str">
        <f>HYPERLINK("http://cgn.websites.wur.nl/website/pictures/Special_collection_CGNSC002/Flowers/TKI 095 (2016-08-08).JPG","Yes")</f>
        <v>Yes</v>
      </c>
      <c r="G86" s="33" t="str">
        <f>HYPERLINK("http://cgn.websites.wur.nl/website/pictures/Special_collection_CGNSC002/Seeds/TKI 095 (2016-11-30).JPG","Yes")</f>
        <v>Yes</v>
      </c>
      <c r="H86" s="1" t="s">
        <v>587</v>
      </c>
      <c r="I86" s="2"/>
      <c r="J86" s="15">
        <v>130</v>
      </c>
      <c r="K86" s="2"/>
      <c r="L86" s="2" t="s">
        <v>1876</v>
      </c>
      <c r="M86" s="2" t="s">
        <v>1875</v>
      </c>
      <c r="N86" s="37" t="s">
        <v>1982</v>
      </c>
    </row>
    <row r="87" spans="1:14" x14ac:dyDescent="0.25">
      <c r="A87" s="6" t="s">
        <v>226</v>
      </c>
      <c r="B87" s="2" t="s">
        <v>591</v>
      </c>
      <c r="C87" s="2">
        <v>2016</v>
      </c>
      <c r="D87" s="32" t="str">
        <f>HYPERLINK("http://cgn.websites.wur.nl/website/pictures/Special_collection_CGNSC002/Juveniles/TKI 096 (2016-05-02).JPG","Yes")</f>
        <v>Yes</v>
      </c>
      <c r="E87" s="34" t="str">
        <f>HYPERLINK("http://cgn.websites.wur.nl/website/pictures/Special_collection_CGNSC002/Adults/TKI 096 (2016-05-26).JPG","Yes")</f>
        <v>Yes</v>
      </c>
      <c r="F87" s="33" t="str">
        <f>HYPERLINK("http://cgn.websites.wur.nl/website/pictures/Special_collection_CGNSC002/Flowers/TKI 096 (2016-06-27).JPG","Yes")</f>
        <v>Yes</v>
      </c>
      <c r="G87" s="33" t="str">
        <f>HYPERLINK("http://cgn.websites.wur.nl/website/pictures/Special_collection_CGNSC002/Seeds/TKI 096 (2016-11-30).JPG","Yes")</f>
        <v>Yes</v>
      </c>
      <c r="H87" s="1" t="s">
        <v>587</v>
      </c>
      <c r="I87" s="2"/>
      <c r="J87" s="15">
        <v>95</v>
      </c>
      <c r="K87" s="2"/>
      <c r="L87" s="2" t="s">
        <v>1877</v>
      </c>
      <c r="M87" s="2" t="s">
        <v>1875</v>
      </c>
      <c r="N87" s="37" t="s">
        <v>1983</v>
      </c>
    </row>
    <row r="88" spans="1:14" x14ac:dyDescent="0.25">
      <c r="A88" s="6" t="s">
        <v>227</v>
      </c>
      <c r="B88" s="2" t="s">
        <v>591</v>
      </c>
      <c r="C88" s="2">
        <v>2016</v>
      </c>
      <c r="D88" s="32" t="str">
        <f>HYPERLINK("http://cgn.websites.wur.nl/website/pictures/Special_collection_CGNSC002/Juveniles/TKI 097 (2016-05-02).JPG","Yes")</f>
        <v>Yes</v>
      </c>
      <c r="E88" s="34" t="str">
        <f>HYPERLINK("http://cgn.websites.wur.nl/website/pictures/Special_collection_CGNSC002/Adults/TKI 097 (2016-05-26).JPG","Yes")</f>
        <v>Yes</v>
      </c>
      <c r="F88" s="33" t="str">
        <f>HYPERLINK("http://cgn.websites.wur.nl/website/pictures/Special_collection_CGNSC002/Flowers/TKI 097 (2016-08-08).JPG","Yes")</f>
        <v>Yes</v>
      </c>
      <c r="G88" s="33" t="str">
        <f>HYPERLINK("http://cgn.websites.wur.nl/website/pictures/Special_collection_CGNSC002/Seeds/TKI 097 (2016-11-30).JPG","Yes")</f>
        <v>Yes</v>
      </c>
      <c r="H88" s="1" t="s">
        <v>588</v>
      </c>
      <c r="I88" s="2"/>
      <c r="J88" s="15">
        <v>130</v>
      </c>
      <c r="K88" s="2"/>
      <c r="L88" s="2" t="s">
        <v>1877</v>
      </c>
      <c r="M88" s="2" t="s">
        <v>1875</v>
      </c>
      <c r="N88" s="37" t="s">
        <v>1984</v>
      </c>
    </row>
    <row r="89" spans="1:14" x14ac:dyDescent="0.25">
      <c r="A89" s="6" t="s">
        <v>228</v>
      </c>
      <c r="B89" s="2" t="s">
        <v>591</v>
      </c>
      <c r="C89" s="2">
        <v>2016</v>
      </c>
      <c r="D89" s="32" t="str">
        <f>HYPERLINK("http://cgn.websites.wur.nl/website/pictures/Special_collection_CGNSC002/Juveniles/TKI 098 (2016-05-02).JPG","Yes")</f>
        <v>Yes</v>
      </c>
      <c r="E89" s="34" t="str">
        <f>HYPERLINK("http://cgn.websites.wur.nl/website/pictures/Special_collection_CGNSC002/Adults/TKI 098 (2016-05-26).JPG","Yes")</f>
        <v>Yes</v>
      </c>
      <c r="F89" s="33" t="str">
        <f>HYPERLINK("http://cgn.websites.wur.nl/website/pictures/Special_collection_CGNSC002/Flowers/TKI 098 (2016-07-18).JPG","Yes")</f>
        <v>Yes</v>
      </c>
      <c r="G89" s="33" t="str">
        <f>HYPERLINK("http://cgn.websites.wur.nl/website/pictures/Special_collection_CGNSC002/Seeds/TKI 098 (2016-11-30).JPG","Yes")</f>
        <v>Yes</v>
      </c>
      <c r="H89" s="1" t="s">
        <v>587</v>
      </c>
      <c r="I89" s="2"/>
      <c r="J89" s="15">
        <v>111</v>
      </c>
      <c r="K89" s="2"/>
      <c r="L89" s="2" t="s">
        <v>1877</v>
      </c>
      <c r="M89" s="2"/>
      <c r="N89" s="37" t="s">
        <v>1985</v>
      </c>
    </row>
    <row r="90" spans="1:14" x14ac:dyDescent="0.25">
      <c r="A90" s="6" t="s">
        <v>229</v>
      </c>
      <c r="B90" s="2" t="s">
        <v>591</v>
      </c>
      <c r="C90" s="2">
        <v>2016</v>
      </c>
      <c r="D90" s="32" t="str">
        <f>HYPERLINK("http://cgn.websites.wur.nl/website/pictures/Special_collection_CGNSC002/Juveniles/TKI 099 (2016-05-02).JPG","Yes")</f>
        <v>Yes</v>
      </c>
      <c r="E90" s="34" t="str">
        <f>HYPERLINK("http://cgn.websites.wur.nl/website/pictures/Special_collection_CGNSC002/Adults/TKI 099 (2016-05-26).JPG","Yes")</f>
        <v>Yes</v>
      </c>
      <c r="F90" s="33" t="str">
        <f>HYPERLINK("http://cgn.websites.wur.nl/website/pictures/Special_collection_CGNSC002/Flowers/TKI 099 (2016-07-04).JPG","Yes")</f>
        <v>Yes</v>
      </c>
      <c r="G90" s="33" t="str">
        <f>HYPERLINK("http://cgn.websites.wur.nl/website/pictures/Special_collection_CGNSC002/Seeds/TKI 099 (2016-11-30).JPG","Yes")</f>
        <v>Yes</v>
      </c>
      <c r="H90" s="1" t="s">
        <v>587</v>
      </c>
      <c r="I90" s="2"/>
      <c r="J90" s="15">
        <v>102</v>
      </c>
      <c r="K90" s="2"/>
      <c r="L90" s="2" t="s">
        <v>1877</v>
      </c>
      <c r="M90" s="2" t="s">
        <v>1875</v>
      </c>
      <c r="N90" s="37" t="s">
        <v>1986</v>
      </c>
    </row>
    <row r="91" spans="1:14" x14ac:dyDescent="0.25">
      <c r="A91" s="6" t="s">
        <v>230</v>
      </c>
      <c r="B91" s="2" t="s">
        <v>591</v>
      </c>
      <c r="C91" s="2">
        <v>2016</v>
      </c>
      <c r="D91" s="32" t="str">
        <f>HYPERLINK("http://cgn.websites.wur.nl/website/pictures/Special_collection_CGNSC002/Juveniles/TKI 100 (2016-05-02).JPG","Yes")</f>
        <v>Yes</v>
      </c>
      <c r="E91" s="34" t="str">
        <f>HYPERLINK("http://cgn.websites.wur.nl/website/pictures/Special_collection_CGNSC002/Adults/TKI 100 (2016-05-26).JPG","Yes")</f>
        <v>Yes</v>
      </c>
      <c r="F91" s="33" t="str">
        <f>HYPERLINK("http://cgn.websites.wur.nl/website/pictures/Special_collection_CGNSC002/Flowers/TKI 100 (2016-07-21).JPG","Yes")</f>
        <v>Yes</v>
      </c>
      <c r="G91" s="33" t="str">
        <f>HYPERLINK("http://cgn.websites.wur.nl/website/pictures/Special_collection_CGNSC002/Seeds/TKI 100 (2016-11-30).JPG","Yes")</f>
        <v>Yes</v>
      </c>
      <c r="H91" s="1" t="s">
        <v>587</v>
      </c>
      <c r="I91" s="2"/>
      <c r="J91" s="15">
        <v>116</v>
      </c>
      <c r="K91" s="2"/>
      <c r="L91" s="2" t="s">
        <v>1877</v>
      </c>
      <c r="M91" s="2" t="s">
        <v>1875</v>
      </c>
      <c r="N91" s="37" t="s">
        <v>1987</v>
      </c>
    </row>
    <row r="92" spans="1:14" x14ac:dyDescent="0.25">
      <c r="A92" s="6" t="s">
        <v>231</v>
      </c>
      <c r="B92" s="2" t="s">
        <v>591</v>
      </c>
      <c r="C92" s="2">
        <v>2016</v>
      </c>
      <c r="D92" s="32" t="str">
        <f>HYPERLINK("http://cgn.websites.wur.nl/website/pictures/Special_collection_CGNSC002/Juveniles/TKI 101 (2016-05-02).JPG","Yes")</f>
        <v>Yes</v>
      </c>
      <c r="E92" s="34" t="str">
        <f>HYPERLINK("http://cgn.websites.wur.nl/website/pictures/Special_collection_CGNSC002/Adults/TKI 101 (2016-05-26).JPG","Yes")</f>
        <v>Yes</v>
      </c>
      <c r="F92" s="33" t="str">
        <f>HYPERLINK("http://cgn.websites.wur.nl/website/pictures/Special_collection_CGNSC002/Flowers/TKI 101 (2016-07-11).JPG","Yes")</f>
        <v>Yes</v>
      </c>
      <c r="G92" s="33" t="str">
        <f>HYPERLINK("http://cgn.websites.wur.nl/website/pictures/Special_collection_CGNSC002/Seeds/TKI 101 (2016-11-30).JPG","Yes")</f>
        <v>Yes</v>
      </c>
      <c r="H92" s="1" t="s">
        <v>588</v>
      </c>
      <c r="I92" s="2"/>
      <c r="J92" s="15">
        <v>105</v>
      </c>
      <c r="K92" s="2"/>
      <c r="L92" s="2" t="s">
        <v>1877</v>
      </c>
      <c r="M92" s="2" t="s">
        <v>1875</v>
      </c>
      <c r="N92" s="37" t="s">
        <v>1988</v>
      </c>
    </row>
    <row r="93" spans="1:14" x14ac:dyDescent="0.25">
      <c r="A93" s="6" t="s">
        <v>232</v>
      </c>
      <c r="B93" s="2" t="s">
        <v>591</v>
      </c>
      <c r="C93" s="2">
        <v>2016</v>
      </c>
      <c r="D93" s="32" t="str">
        <f>HYPERLINK("http://cgn.websites.wur.nl/website/pictures/Special_collection_CGNSC002/Juveniles/TKI 102 (2016-05-02).JPG","Yes")</f>
        <v>Yes</v>
      </c>
      <c r="E93" s="34" t="str">
        <f>HYPERLINK("http://cgn.websites.wur.nl/website/pictures/Special_collection_CGNSC002/Adults/TKI 102 (2016-05-26).JPG","Yes")</f>
        <v>Yes</v>
      </c>
      <c r="F93" s="33" t="str">
        <f>HYPERLINK("http://cgn.websites.wur.nl/website/pictures/Special_collection_CGNSC002/Flowers/TKI 102 (2016-07-21).JPG","Yes")</f>
        <v>Yes</v>
      </c>
      <c r="G93" s="33" t="str">
        <f>HYPERLINK("http://cgn.websites.wur.nl/website/pictures/Special_collection_CGNSC002/Seeds/TKI 102 (2016-11-30).JPG","Yes")</f>
        <v>Yes</v>
      </c>
      <c r="H93" s="1" t="s">
        <v>588</v>
      </c>
      <c r="I93" s="2"/>
      <c r="J93" s="15">
        <v>123</v>
      </c>
      <c r="K93" s="2"/>
      <c r="L93" s="2" t="s">
        <v>1877</v>
      </c>
      <c r="M93" s="2"/>
      <c r="N93" s="37" t="s">
        <v>1989</v>
      </c>
    </row>
    <row r="94" spans="1:14" x14ac:dyDescent="0.25">
      <c r="A94" s="6" t="s">
        <v>233</v>
      </c>
      <c r="B94" s="2" t="s">
        <v>591</v>
      </c>
      <c r="C94" s="2">
        <v>2016</v>
      </c>
      <c r="D94" s="32" t="str">
        <f>HYPERLINK("http://cgn.websites.wur.nl/website/pictures/Special_collection_CGNSC002/Juveniles/TKI 103 (2016-05-02).JPG","Yes")</f>
        <v>Yes</v>
      </c>
      <c r="E94" s="34" t="str">
        <f>HYPERLINK("http://cgn.websites.wur.nl/website/pictures/Special_collection_CGNSC002/Adults/TKI 103 (2016-05-26).JPG","Yes")</f>
        <v>Yes</v>
      </c>
      <c r="F94" s="33" t="str">
        <f>HYPERLINK("http://cgn.websites.wur.nl/website/pictures/Special_collection_CGNSC002/Flowers/TKI 103 (2016-07-14).JPG","Yes")</f>
        <v>Yes</v>
      </c>
      <c r="G94" s="33" t="str">
        <f>HYPERLINK("http://cgn.websites.wur.nl/website/pictures/Special_collection_CGNSC002/Seeds/TKI 103 (2016-11-30).JPG","Yes")</f>
        <v>Yes</v>
      </c>
      <c r="H94" s="1" t="s">
        <v>588</v>
      </c>
      <c r="I94" s="2"/>
      <c r="J94" s="15">
        <v>111</v>
      </c>
      <c r="K94" s="2"/>
      <c r="L94" s="2" t="s">
        <v>1877</v>
      </c>
      <c r="M94" s="2"/>
      <c r="N94" s="37" t="s">
        <v>1990</v>
      </c>
    </row>
    <row r="95" spans="1:14" x14ac:dyDescent="0.25">
      <c r="A95" s="6" t="s">
        <v>234</v>
      </c>
      <c r="B95" s="2" t="s">
        <v>591</v>
      </c>
      <c r="C95" s="2">
        <v>2016</v>
      </c>
      <c r="D95" s="32" t="str">
        <f>HYPERLINK("http://cgn.websites.wur.nl/website/pictures/Special_collection_CGNSC002/Juveniles/TKI 104 (2016-05-02).JPG","Yes")</f>
        <v>Yes</v>
      </c>
      <c r="E95" s="34" t="str">
        <f>HYPERLINK("http://cgn.websites.wur.nl/website/pictures/Special_collection_CGNSC002/Adults/TKI 104 (2016-05-26).JPG","Yes")</f>
        <v>Yes</v>
      </c>
      <c r="F95" s="33" t="str">
        <f>HYPERLINK("http://cgn.websites.wur.nl/website/pictures/Special_collection_CGNSC002/Flowers/TKI 104 (2016-07-21).JPG","Yes")</f>
        <v>Yes</v>
      </c>
      <c r="G95" s="33" t="str">
        <f>HYPERLINK("http://cgn.websites.wur.nl/website/pictures/Special_collection_CGNSC002/Seeds/TKI 104 (2016-11-30).JPG","Yes")</f>
        <v>Yes</v>
      </c>
      <c r="H95" s="1" t="s">
        <v>587</v>
      </c>
      <c r="I95" s="2"/>
      <c r="J95" s="15">
        <v>116</v>
      </c>
      <c r="K95" s="2"/>
      <c r="L95" s="2" t="s">
        <v>1877</v>
      </c>
      <c r="M95" s="2" t="s">
        <v>1875</v>
      </c>
      <c r="N95" s="37" t="s">
        <v>1991</v>
      </c>
    </row>
    <row r="96" spans="1:14" x14ac:dyDescent="0.25">
      <c r="A96" s="6" t="s">
        <v>235</v>
      </c>
      <c r="B96" s="2" t="s">
        <v>591</v>
      </c>
      <c r="C96" s="2">
        <v>2016</v>
      </c>
      <c r="D96" s="32" t="str">
        <f>HYPERLINK("http://cgn.websites.wur.nl/website/pictures/Special_collection_CGNSC002/Juveniles/TKI 105 (2016-05-02).JPG","Yes")</f>
        <v>Yes</v>
      </c>
      <c r="E96" s="34" t="str">
        <f>HYPERLINK("http://cgn.websites.wur.nl/website/pictures/Special_collection_CGNSC002/Adults/TKI 105 (2016-05-26).JPG","Yes")</f>
        <v>Yes</v>
      </c>
      <c r="F96" s="33" t="str">
        <f>HYPERLINK("http://cgn.websites.wur.nl/website/pictures/Special_collection_CGNSC002/Flowers/TKI 105 (2016-07-21).JPG","Yes")</f>
        <v>Yes</v>
      </c>
      <c r="G96" s="33" t="str">
        <f>HYPERLINK("http://cgn.websites.wur.nl/website/pictures/Special_collection_CGNSC002/Seeds/TKI 105 (2016-11-30).JPG","Yes")</f>
        <v>Yes</v>
      </c>
      <c r="H96" s="1" t="s">
        <v>587</v>
      </c>
      <c r="I96" s="2"/>
      <c r="J96" s="15">
        <v>116</v>
      </c>
      <c r="K96" s="2"/>
      <c r="L96" s="2" t="s">
        <v>1877</v>
      </c>
      <c r="M96" s="2" t="s">
        <v>1875</v>
      </c>
      <c r="N96" s="37" t="s">
        <v>1992</v>
      </c>
    </row>
    <row r="97" spans="1:14" x14ac:dyDescent="0.25">
      <c r="A97" s="6" t="s">
        <v>236</v>
      </c>
      <c r="B97" s="2" t="s">
        <v>591</v>
      </c>
      <c r="C97" s="2">
        <v>2016</v>
      </c>
      <c r="D97" s="32" t="str">
        <f>HYPERLINK("http://cgn.websites.wur.nl/website/pictures/Special_collection_CGNSC002/Juveniles/TKI 106 (2016-05-02).JPG","Yes")</f>
        <v>Yes</v>
      </c>
      <c r="E97" s="34" t="str">
        <f>HYPERLINK("http://cgn.websites.wur.nl/website/pictures/Special_collection_CGNSC002/Adults/TKI 106 (2016-05-26).JPG","Yes")</f>
        <v>Yes</v>
      </c>
      <c r="F97" s="33" t="str">
        <f>HYPERLINK("http://cgn.websites.wur.nl/website/pictures/Special_collection_CGNSC002/Flowers/TKI 106 (2016-07-21).JPG","Yes")</f>
        <v>Yes</v>
      </c>
      <c r="G97" s="33" t="str">
        <f>HYPERLINK("http://cgn.websites.wur.nl/website/pictures/Special_collection_CGNSC002/Seeds/TKI 106 (2016-11-30).JPG","Yes")</f>
        <v>Yes</v>
      </c>
      <c r="H97" s="1" t="s">
        <v>587</v>
      </c>
      <c r="I97" s="2"/>
      <c r="J97" s="15">
        <v>116</v>
      </c>
      <c r="K97" s="2"/>
      <c r="L97" s="2" t="s">
        <v>1877</v>
      </c>
      <c r="M97" s="2" t="s">
        <v>1875</v>
      </c>
      <c r="N97" s="37" t="s">
        <v>1993</v>
      </c>
    </row>
    <row r="98" spans="1:14" x14ac:dyDescent="0.25">
      <c r="A98" s="6" t="s">
        <v>237</v>
      </c>
      <c r="B98" s="2" t="s">
        <v>591</v>
      </c>
      <c r="C98" s="2">
        <v>2016</v>
      </c>
      <c r="D98" s="32" t="str">
        <f>HYPERLINK("http://cgn.websites.wur.nl/website/pictures/Special_collection_CGNSC002/Juveniles/TKI 107 (2016-05-02).JPG","Yes")</f>
        <v>Yes</v>
      </c>
      <c r="E98" s="34" t="str">
        <f>HYPERLINK("http://cgn.websites.wur.nl/website/pictures/Special_collection_CGNSC002/Adults/TKI 107 (2016-05-26).JPG","Yes")</f>
        <v>Yes</v>
      </c>
      <c r="F98" s="33" t="str">
        <f>HYPERLINK("http://cgn.websites.wur.nl/website/pictures/Special_collection_CGNSC002/Flowers/TKI 107 (2016-07-28).JPG","Yes")</f>
        <v>Yes</v>
      </c>
      <c r="G98" s="33" t="str">
        <f>HYPERLINK("http://cgn.websites.wur.nl/website/pictures/Special_collection_CGNSC002/Seeds/TKI 107 (2016-11-30).JPG","Yes")</f>
        <v>Yes</v>
      </c>
      <c r="H98" s="1" t="s">
        <v>587</v>
      </c>
      <c r="I98" s="2"/>
      <c r="J98" s="15">
        <v>123</v>
      </c>
      <c r="K98" s="2"/>
      <c r="L98" s="2" t="s">
        <v>1876</v>
      </c>
      <c r="M98" s="2" t="s">
        <v>1875</v>
      </c>
      <c r="N98" s="37" t="s">
        <v>1994</v>
      </c>
    </row>
    <row r="99" spans="1:14" x14ac:dyDescent="0.25">
      <c r="A99" s="6" t="s">
        <v>238</v>
      </c>
      <c r="B99" s="2" t="s">
        <v>591</v>
      </c>
      <c r="C99" s="2">
        <v>2016</v>
      </c>
      <c r="D99" s="32" t="str">
        <f>HYPERLINK("http://cgn.websites.wur.nl/website/pictures/Special_collection_CGNSC002/Juveniles/TKI 108 (2016-05-02).JPG","Yes")</f>
        <v>Yes</v>
      </c>
      <c r="E99" s="34" t="str">
        <f>HYPERLINK("http://cgn.websites.wur.nl/website/pictures/Special_collection_CGNSC002/Adults/TKI 108 (2016-05-26).JPG","Yes")</f>
        <v>Yes</v>
      </c>
      <c r="F99" s="33" t="str">
        <f>HYPERLINK("http://cgn.websites.wur.nl/website/pictures/Special_collection_CGNSC002/Flowers/TKI 108 (2016-07-25).JPG","Yes")</f>
        <v>Yes</v>
      </c>
      <c r="G99" s="33" t="str">
        <f>HYPERLINK("http://cgn.websites.wur.nl/website/pictures/Special_collection_CGNSC002/Seeds/TKI 108 (2016-11-30).JPG","Yes")</f>
        <v>Yes</v>
      </c>
      <c r="H99" s="1" t="s">
        <v>587</v>
      </c>
      <c r="I99" s="2"/>
      <c r="J99" s="15">
        <v>123</v>
      </c>
      <c r="K99" s="2"/>
      <c r="L99" s="2" t="s">
        <v>1877</v>
      </c>
      <c r="M99" s="2" t="s">
        <v>1875</v>
      </c>
      <c r="N99" s="37" t="s">
        <v>1995</v>
      </c>
    </row>
    <row r="100" spans="1:14" x14ac:dyDescent="0.25">
      <c r="A100" s="6" t="s">
        <v>239</v>
      </c>
      <c r="B100" s="2" t="s">
        <v>591</v>
      </c>
      <c r="C100" s="2">
        <v>2016</v>
      </c>
      <c r="D100" s="32" t="str">
        <f>HYPERLINK("http://cgn.websites.wur.nl/website/pictures/Special_collection_CGNSC002/Juveniles/TKI 109 (2016-05-02).JPG","Yes")</f>
        <v>Yes</v>
      </c>
      <c r="E100" s="34" t="str">
        <f>HYPERLINK("http://cgn.websites.wur.nl/website/pictures/Special_collection_CGNSC002/Adults/TKI 109 (2016-05-26).JPG","Yes")</f>
        <v>Yes</v>
      </c>
      <c r="F100" s="33" t="str">
        <f>HYPERLINK("http://cgn.websites.wur.nl/website/pictures/Special_collection_CGNSC002/Flowers/TKI 109 (2016-08-01).JPG","Yes")</f>
        <v>Yes</v>
      </c>
      <c r="G100" s="33" t="str">
        <f>HYPERLINK("http://cgn.websites.wur.nl/website/pictures/Special_collection_CGNSC002/Seeds/TKI 109 (2016-11-30).JPG","Yes")</f>
        <v>Yes</v>
      </c>
      <c r="H100" s="1" t="s">
        <v>588</v>
      </c>
      <c r="I100" s="2"/>
      <c r="J100" s="15">
        <v>130</v>
      </c>
      <c r="K100" s="2"/>
      <c r="L100" s="2" t="s">
        <v>1877</v>
      </c>
      <c r="M100" s="2" t="s">
        <v>1875</v>
      </c>
      <c r="N100" s="37" t="s">
        <v>1996</v>
      </c>
    </row>
    <row r="101" spans="1:14" x14ac:dyDescent="0.25">
      <c r="A101" s="6" t="s">
        <v>240</v>
      </c>
      <c r="B101" s="2" t="s">
        <v>591</v>
      </c>
      <c r="C101" s="2">
        <v>2016</v>
      </c>
      <c r="D101" s="32" t="str">
        <f>HYPERLINK("http://cgn.websites.wur.nl/website/pictures/Special_collection_CGNSC002/Juveniles/TKI 110 (2016-05-02).JPG","Yes")</f>
        <v>Yes</v>
      </c>
      <c r="E101" s="34" t="str">
        <f>HYPERLINK("http://cgn.websites.wur.nl/website/pictures/Special_collection_CGNSC002/Adults/TKI 110 (2016-05-26).JPG","Yes")</f>
        <v>Yes</v>
      </c>
      <c r="F101" s="33" t="str">
        <f>HYPERLINK("http://cgn.websites.wur.nl/website/pictures/Special_collection_CGNSC002/Flowers/TKI 110 (2016-07-21).JPG","Yes")</f>
        <v>Yes</v>
      </c>
      <c r="G101" s="33" t="str">
        <f>HYPERLINK("http://cgn.websites.wur.nl/website/pictures/Special_collection_CGNSC002/Seeds/TKI 110 (2016-11-30).JPG","Yes")</f>
        <v>Yes</v>
      </c>
      <c r="H101" s="1" t="s">
        <v>587</v>
      </c>
      <c r="I101" s="2"/>
      <c r="J101" s="15">
        <v>123</v>
      </c>
      <c r="K101" s="2"/>
      <c r="L101" s="2" t="s">
        <v>1876</v>
      </c>
      <c r="M101" s="2" t="s">
        <v>1875</v>
      </c>
      <c r="N101" s="37" t="s">
        <v>1997</v>
      </c>
    </row>
    <row r="102" spans="1:14" x14ac:dyDescent="0.25">
      <c r="A102" s="6" t="s">
        <v>241</v>
      </c>
      <c r="B102" s="2" t="s">
        <v>591</v>
      </c>
      <c r="C102" s="2">
        <v>2016</v>
      </c>
      <c r="D102" s="32" t="str">
        <f>HYPERLINK("http://cgn.websites.wur.nl/website/pictures/Special_collection_CGNSC002/Juveniles/TKI 111 (2016-05-02).JPG","Yes")</f>
        <v>Yes</v>
      </c>
      <c r="E102" s="34" t="str">
        <f>HYPERLINK("http://cgn.websites.wur.nl/website/pictures/Special_collection_CGNSC002/Adults/TKI 111 (2016-05-26).JPG","Yes")</f>
        <v>Yes</v>
      </c>
      <c r="F102" s="33" t="str">
        <f>HYPERLINK("http://cgn.websites.wur.nl/website/pictures/Special_collection_CGNSC002/Flowers/TKI 111 (2016-07-25).JPG","Yes")</f>
        <v>Yes</v>
      </c>
      <c r="G102" s="33" t="str">
        <f>HYPERLINK("http://cgn.websites.wur.nl/website/pictures/Special_collection_CGNSC002/Seeds/TKI 111 (2016-11-30).JPG","Yes")</f>
        <v>Yes</v>
      </c>
      <c r="H102" s="1" t="s">
        <v>588</v>
      </c>
      <c r="I102" s="2"/>
      <c r="J102" s="15">
        <v>123</v>
      </c>
      <c r="K102" s="2"/>
      <c r="L102" s="2" t="s">
        <v>1877</v>
      </c>
      <c r="M102" s="2"/>
      <c r="N102" s="37" t="s">
        <v>1998</v>
      </c>
    </row>
    <row r="103" spans="1:14" x14ac:dyDescent="0.25">
      <c r="A103" s="6" t="s">
        <v>242</v>
      </c>
      <c r="B103" s="2" t="s">
        <v>591</v>
      </c>
      <c r="C103" s="2">
        <v>2016</v>
      </c>
      <c r="D103" s="32" t="str">
        <f>HYPERLINK("http://cgn.websites.wur.nl/website/pictures/Special_collection_CGNSC002/Juveniles/TKI 112 (2016-05-02).JPG","Yes")</f>
        <v>Yes</v>
      </c>
      <c r="E103" s="34" t="str">
        <f>HYPERLINK("http://cgn.websites.wur.nl/website/pictures/Special_collection_CGNSC002/Adults/TKI 112 (2016-05-26).JPG","Yes")</f>
        <v>Yes</v>
      </c>
      <c r="F103" s="33" t="str">
        <f>HYPERLINK("http://cgn.websites.wur.nl/website/pictures/Special_collection_CGNSC002/Flowers/TKI 112 (2016-08-01).JPG","Yes")</f>
        <v>Yes</v>
      </c>
      <c r="G103" s="33" t="str">
        <f>HYPERLINK("http://cgn.websites.wur.nl/website/pictures/Special_collection_CGNSC002/Seeds/TKI 112 (2016-11-30).JPG","Yes")</f>
        <v>Yes</v>
      </c>
      <c r="H103" s="1" t="s">
        <v>587</v>
      </c>
      <c r="I103" s="2"/>
      <c r="J103" s="15">
        <v>130</v>
      </c>
      <c r="K103" s="2"/>
      <c r="L103" s="2" t="s">
        <v>1877</v>
      </c>
      <c r="M103" s="2"/>
      <c r="N103" s="37" t="s">
        <v>1999</v>
      </c>
    </row>
    <row r="104" spans="1:14" x14ac:dyDescent="0.25">
      <c r="A104" s="6" t="s">
        <v>243</v>
      </c>
      <c r="B104" s="2" t="s">
        <v>591</v>
      </c>
      <c r="C104" s="2">
        <v>2016</v>
      </c>
      <c r="D104" s="32" t="str">
        <f>HYPERLINK("http://cgn.websites.wur.nl/website/pictures/Special_collection_CGNSC002/Juveniles/TKI 113 (2016-05-02).JPG","Yes")</f>
        <v>Yes</v>
      </c>
      <c r="E104" s="34" t="str">
        <f>HYPERLINK("http://cgn.websites.wur.nl/website/pictures/Special_collection_CGNSC002/Adults/TKI 113 (2016-05-26).JPG","Yes")</f>
        <v>Yes</v>
      </c>
      <c r="F104" s="33" t="str">
        <f>HYPERLINK("http://cgn.websites.wur.nl/website/pictures/Special_collection_CGNSC002/Flowers/TKI 113 (2016-07-28).JPG","Yes")</f>
        <v>Yes</v>
      </c>
      <c r="G104" s="33" t="str">
        <f>HYPERLINK("http://cgn.websites.wur.nl/website/pictures/Special_collection_CGNSC002/Seeds/TKI 113 (2016-11-30).JPG","Yes")</f>
        <v>Yes</v>
      </c>
      <c r="H104" s="1" t="s">
        <v>587</v>
      </c>
      <c r="I104" s="2"/>
      <c r="J104" s="15">
        <v>130</v>
      </c>
      <c r="K104" s="2"/>
      <c r="L104" s="2" t="s">
        <v>1876</v>
      </c>
      <c r="M104" s="2" t="s">
        <v>1875</v>
      </c>
      <c r="N104" s="37" t="s">
        <v>2000</v>
      </c>
    </row>
    <row r="105" spans="1:14" x14ac:dyDescent="0.25">
      <c r="A105" s="6" t="s">
        <v>244</v>
      </c>
      <c r="B105" s="2" t="s">
        <v>591</v>
      </c>
      <c r="C105" s="2">
        <v>2016</v>
      </c>
      <c r="D105" s="32" t="str">
        <f>HYPERLINK("http://cgn.websites.wur.nl/website/pictures/Special_collection_CGNSC002/Juveniles/TKI 114 (2016-05-02).JPG","Yes")</f>
        <v>Yes</v>
      </c>
      <c r="E105" s="34" t="str">
        <f>HYPERLINK("http://cgn.websites.wur.nl/website/pictures/Special_collection_CGNSC002/Adults/TKI 114 (2016-05-26).JPG","Yes")</f>
        <v>Yes</v>
      </c>
      <c r="F105" s="33" t="str">
        <f>HYPERLINK("http://cgn.websites.wur.nl/website/pictures/Special_collection_CGNSC002/Flowers/TKI 114 (2016-07-28).JPG","Yes")</f>
        <v>Yes</v>
      </c>
      <c r="G105" s="33" t="str">
        <f>HYPERLINK("http://cgn.websites.wur.nl/website/pictures/Special_collection_CGNSC002/Seeds/TKI 114 (2016-11-30).JPG","Yes")</f>
        <v>Yes</v>
      </c>
      <c r="H105" s="1" t="s">
        <v>588</v>
      </c>
      <c r="I105" s="2"/>
      <c r="J105" s="15">
        <v>123</v>
      </c>
      <c r="K105" s="2"/>
      <c r="L105" s="2" t="s">
        <v>1877</v>
      </c>
      <c r="M105" s="2" t="s">
        <v>1875</v>
      </c>
      <c r="N105" s="37" t="s">
        <v>2001</v>
      </c>
    </row>
    <row r="106" spans="1:14" x14ac:dyDescent="0.25">
      <c r="A106" s="6" t="s">
        <v>245</v>
      </c>
      <c r="B106" s="2" t="s">
        <v>591</v>
      </c>
      <c r="C106" s="2">
        <v>2016</v>
      </c>
      <c r="D106" s="32" t="str">
        <f>HYPERLINK("http://cgn.websites.wur.nl/website/pictures/Special_collection_CGNSC002/Juveniles/TKI 115 (2016-05-02).JPG","Yes")</f>
        <v>Yes</v>
      </c>
      <c r="E106" s="34" t="str">
        <f>HYPERLINK("http://cgn.websites.wur.nl/website/pictures/Special_collection_CGNSC002/Adults/TKI 115 (2016-05-26).JPG","Yes")</f>
        <v>Yes</v>
      </c>
      <c r="F106" s="33" t="str">
        <f>HYPERLINK("http://cgn.websites.wur.nl/website/pictures/Special_collection_CGNSC002/Flowers/TKI 115 (2016-07-28).JPG","Yes")</f>
        <v>Yes</v>
      </c>
      <c r="G106" s="33" t="str">
        <f>HYPERLINK("http://cgn.websites.wur.nl/website/pictures/Special_collection_CGNSC002/Seeds/TKI 115 (2016-11-30).JPG","Yes")</f>
        <v>Yes</v>
      </c>
      <c r="H106" s="1" t="s">
        <v>587</v>
      </c>
      <c r="I106" s="2"/>
      <c r="J106" s="15">
        <v>123</v>
      </c>
      <c r="K106" s="2"/>
      <c r="L106" s="2" t="s">
        <v>1877</v>
      </c>
      <c r="M106" s="2" t="s">
        <v>1875</v>
      </c>
      <c r="N106" s="37" t="s">
        <v>2002</v>
      </c>
    </row>
    <row r="107" spans="1:14" x14ac:dyDescent="0.25">
      <c r="A107" s="6" t="s">
        <v>246</v>
      </c>
      <c r="B107" s="2" t="s">
        <v>591</v>
      </c>
      <c r="C107" s="2">
        <v>2016</v>
      </c>
      <c r="D107" s="32" t="str">
        <f>HYPERLINK("http://cgn.websites.wur.nl/website/pictures/Special_collection_CGNSC002/Juveniles/TKI 116 (2016-05-02).JPG","Yes")</f>
        <v>Yes</v>
      </c>
      <c r="E107" s="34" t="str">
        <f>HYPERLINK("http://cgn.websites.wur.nl/website/pictures/Special_collection_CGNSC002/Adults/TKI 116 (2016-05-26).JPG","Yes")</f>
        <v>Yes</v>
      </c>
      <c r="F107" s="33" t="str">
        <f>HYPERLINK("http://cgn.websites.wur.nl/website/pictures/Special_collection_CGNSC002/Flowers/TKI 116 (2016-07-25).JPG","Yes")</f>
        <v>Yes</v>
      </c>
      <c r="G107" s="33" t="str">
        <f>HYPERLINK("http://cgn.websites.wur.nl/website/pictures/Special_collection_CGNSC002/Seeds/TKI 116 (2016-11-30).JPG","Yes")</f>
        <v>Yes</v>
      </c>
      <c r="H107" s="1" t="s">
        <v>587</v>
      </c>
      <c r="I107" s="2"/>
      <c r="J107" s="15">
        <v>123</v>
      </c>
      <c r="K107" s="2"/>
      <c r="L107" s="2" t="s">
        <v>1877</v>
      </c>
      <c r="M107" s="2" t="s">
        <v>1875</v>
      </c>
      <c r="N107" s="37" t="s">
        <v>2003</v>
      </c>
    </row>
    <row r="108" spans="1:14" x14ac:dyDescent="0.25">
      <c r="A108" s="6" t="s">
        <v>247</v>
      </c>
      <c r="B108" s="2" t="s">
        <v>591</v>
      </c>
      <c r="C108" s="2">
        <v>2016</v>
      </c>
      <c r="D108" s="32" t="str">
        <f>HYPERLINK("http://cgn.websites.wur.nl/website/pictures/Special_collection_CGNSC002/Juveniles/TKI 117 (2016-05-02).JPG","Yes")</f>
        <v>Yes</v>
      </c>
      <c r="E108" s="34" t="str">
        <f>HYPERLINK("http://cgn.websites.wur.nl/website/pictures/Special_collection_CGNSC002/Adults/TKI 117 (2016-05-26).JPG","Yes")</f>
        <v>Yes</v>
      </c>
      <c r="F108" s="33" t="str">
        <f>HYPERLINK("http://cgn.websites.wur.nl/website/pictures/Special_collection_CGNSC002/Flowers/TKI 117 (2016-07-21).JPG","Yes")</f>
        <v>Yes</v>
      </c>
      <c r="G108" s="33" t="str">
        <f>HYPERLINK("http://cgn.websites.wur.nl/website/pictures/Special_collection_CGNSC002/Seeds/TKI 117 (2016-11-30).JPG","Yes")</f>
        <v>Yes</v>
      </c>
      <c r="H108" s="1" t="s">
        <v>587</v>
      </c>
      <c r="I108" s="2"/>
      <c r="J108" s="15">
        <v>116</v>
      </c>
      <c r="K108" s="2"/>
      <c r="L108" s="2" t="s">
        <v>1876</v>
      </c>
      <c r="M108" s="2" t="s">
        <v>1875</v>
      </c>
      <c r="N108" s="37" t="s">
        <v>2004</v>
      </c>
    </row>
    <row r="109" spans="1:14" x14ac:dyDescent="0.25">
      <c r="A109" s="6" t="s">
        <v>248</v>
      </c>
      <c r="B109" s="2" t="s">
        <v>591</v>
      </c>
      <c r="C109" s="2">
        <v>2016</v>
      </c>
      <c r="D109" s="32" t="str">
        <f>HYPERLINK("http://cgn.websites.wur.nl/website/pictures/Special_collection_CGNSC002/Juveniles/TKI 118 (2016-05-02).JPG","Yes")</f>
        <v>Yes</v>
      </c>
      <c r="E109" s="34" t="str">
        <f>HYPERLINK("http://cgn.websites.wur.nl/website/pictures/Special_collection_CGNSC002/Adults/TKI 118 (2016-05-26).JPG","Yes")</f>
        <v>Yes</v>
      </c>
      <c r="F109" s="33" t="str">
        <f>HYPERLINK("http://cgn.websites.wur.nl/website/pictures/Special_collection_CGNSC002/Flowers/TKI 118 (2016-07-14).JPG","Yes")</f>
        <v>Yes</v>
      </c>
      <c r="G109" s="33" t="str">
        <f>HYPERLINK("http://cgn.websites.wur.nl/website/pictures/Special_collection_CGNSC002/Seeds/TKI 118 (2016-11-30).JPG","Yes")</f>
        <v>Yes</v>
      </c>
      <c r="H109" s="1" t="s">
        <v>587</v>
      </c>
      <c r="I109" s="2"/>
      <c r="J109" s="15">
        <v>105</v>
      </c>
      <c r="K109" s="2"/>
      <c r="L109" s="2" t="s">
        <v>1876</v>
      </c>
      <c r="M109" s="2" t="s">
        <v>1875</v>
      </c>
      <c r="N109" s="37" t="s">
        <v>2005</v>
      </c>
    </row>
    <row r="110" spans="1:14" x14ac:dyDescent="0.25">
      <c r="A110" s="6" t="s">
        <v>249</v>
      </c>
      <c r="B110" s="2" t="s">
        <v>591</v>
      </c>
      <c r="C110" s="2">
        <v>2016</v>
      </c>
      <c r="D110" s="32" t="str">
        <f>HYPERLINK("http://cgn.websites.wur.nl/website/pictures/Special_collection_CGNSC002/Juveniles/TKI 119 (2016-05-02).JPG","Yes")</f>
        <v>Yes</v>
      </c>
      <c r="E110" s="34" t="str">
        <f>HYPERLINK("http://cgn.websites.wur.nl/website/pictures/Special_collection_CGNSC002/Adults/TKI 119 (2016-05-26).JPG","Yes")</f>
        <v>Yes</v>
      </c>
      <c r="F110" s="33" t="str">
        <f>HYPERLINK("http://cgn.websites.wur.nl/website/pictures/Special_collection_CGNSC002/Flowers/TKI 119 (2016-06-23).JPG","Yes")</f>
        <v>Yes</v>
      </c>
      <c r="G110" s="33" t="str">
        <f>HYPERLINK("http://cgn.websites.wur.nl/website/pictures/Special_collection_CGNSC002/Seeds/TKI 119 (2016-11-30).JPG","Yes")</f>
        <v>Yes</v>
      </c>
      <c r="H110" s="1" t="s">
        <v>588</v>
      </c>
      <c r="I110" s="2"/>
      <c r="J110" s="15">
        <v>88</v>
      </c>
      <c r="K110" s="2"/>
      <c r="L110" s="2" t="s">
        <v>1877</v>
      </c>
      <c r="M110" s="2" t="s">
        <v>1875</v>
      </c>
      <c r="N110" s="37" t="s">
        <v>2006</v>
      </c>
    </row>
    <row r="111" spans="1:14" x14ac:dyDescent="0.25">
      <c r="A111" s="6" t="s">
        <v>250</v>
      </c>
      <c r="B111" s="2" t="s">
        <v>591</v>
      </c>
      <c r="C111" s="2">
        <v>2016</v>
      </c>
      <c r="D111" s="32" t="str">
        <f>HYPERLINK("http://cgn.websites.wur.nl/website/pictures/Special_collection_CGNSC002/Juveniles/TKI 120 (2016-05-02).JPG","Yes")</f>
        <v>Yes</v>
      </c>
      <c r="E111" s="34" t="str">
        <f>HYPERLINK("http://cgn.websites.wur.nl/website/pictures/Special_collection_CGNSC002/Adults/TKI 120 (2016-05-26).JPG","Yes")</f>
        <v>Yes</v>
      </c>
      <c r="F111" s="33" t="str">
        <f>HYPERLINK("http://cgn.websites.wur.nl/website/pictures/Special_collection_CGNSC002/Flowers/TKI 120 (2016-07-14).JPG","Yes")</f>
        <v>Yes</v>
      </c>
      <c r="G111" s="33" t="str">
        <f>HYPERLINK("http://cgn.websites.wur.nl/website/pictures/Special_collection_CGNSC002/Seeds/TKI 120 (2016-11-30).JPG","Yes")</f>
        <v>Yes</v>
      </c>
      <c r="H111" s="1" t="s">
        <v>587</v>
      </c>
      <c r="I111" s="2"/>
      <c r="J111" s="15">
        <v>111</v>
      </c>
      <c r="K111" s="2"/>
      <c r="L111" s="2" t="s">
        <v>1877</v>
      </c>
      <c r="M111" s="2" t="s">
        <v>1875</v>
      </c>
      <c r="N111" s="37" t="s">
        <v>2007</v>
      </c>
    </row>
    <row r="112" spans="1:14" x14ac:dyDescent="0.25">
      <c r="A112" s="6" t="s">
        <v>251</v>
      </c>
      <c r="B112" s="2" t="s">
        <v>591</v>
      </c>
      <c r="C112" s="2">
        <v>2016</v>
      </c>
      <c r="D112" s="32" t="str">
        <f>HYPERLINK("http://cgn.websites.wur.nl/website/pictures/Special_collection_CGNSC002/Juveniles/TKI 121 (2016-05-02).JPG","Yes")</f>
        <v>Yes</v>
      </c>
      <c r="E112" s="34" t="str">
        <f>HYPERLINK("http://cgn.websites.wur.nl/website/pictures/Special_collection_CGNSC002/Adults/TKI 121 (2016-05-26).JPG","Yes")</f>
        <v>Yes</v>
      </c>
      <c r="F112" s="33" t="str">
        <f>HYPERLINK("http://cgn.websites.wur.nl/website/pictures/Special_collection_CGNSC002/Flowers/TKI 121 (2016-07-28).JPG","Yes")</f>
        <v>Yes</v>
      </c>
      <c r="G112" s="33" t="str">
        <f>HYPERLINK("http://cgn.websites.wur.nl/website/pictures/Special_collection_CGNSC002/Seeds/TKI 121 (2016-11-30).JPG","Yes")</f>
        <v>Yes</v>
      </c>
      <c r="H112" s="1" t="s">
        <v>588</v>
      </c>
      <c r="I112" s="2"/>
      <c r="J112" s="15">
        <v>130</v>
      </c>
      <c r="K112" s="2"/>
      <c r="L112" s="2" t="s">
        <v>1877</v>
      </c>
      <c r="M112" s="2" t="s">
        <v>1875</v>
      </c>
      <c r="N112" s="37" t="s">
        <v>2008</v>
      </c>
    </row>
    <row r="113" spans="1:14" x14ac:dyDescent="0.25">
      <c r="A113" s="6" t="s">
        <v>252</v>
      </c>
      <c r="B113" s="2" t="s">
        <v>591</v>
      </c>
      <c r="C113" s="2">
        <v>2016</v>
      </c>
      <c r="D113" s="32" t="str">
        <f>HYPERLINK("http://cgn.websites.wur.nl/website/pictures/Special_collection_CGNSC002/Juveniles/TKI 122 (2016-05-02).JPG","Yes")</f>
        <v>Yes</v>
      </c>
      <c r="E113" s="34" t="str">
        <f>HYPERLINK("http://cgn.websites.wur.nl/website/pictures/Special_collection_CGNSC002/Adults/TKI 122 (2016-05-26).JPG","Yes")</f>
        <v>Yes</v>
      </c>
      <c r="F113" s="33" t="str">
        <f>HYPERLINK("http://cgn.websites.wur.nl/website/pictures/Special_collection_CGNSC002/Flowers/TKI 122 (2016-07-25).JPG","Yes")</f>
        <v>Yes</v>
      </c>
      <c r="G113" s="33" t="str">
        <f>HYPERLINK("http://cgn.websites.wur.nl/website/pictures/Special_collection_CGNSC002/Seeds/TKI 122 (2016-11-30).JPG","Yes")</f>
        <v>Yes</v>
      </c>
      <c r="H113" s="1" t="s">
        <v>587</v>
      </c>
      <c r="I113" s="2"/>
      <c r="J113" s="15">
        <v>123</v>
      </c>
      <c r="K113" s="2"/>
      <c r="L113" s="2" t="s">
        <v>1876</v>
      </c>
      <c r="M113" s="2" t="s">
        <v>1875</v>
      </c>
      <c r="N113" s="37" t="s">
        <v>2009</v>
      </c>
    </row>
    <row r="114" spans="1:14" x14ac:dyDescent="0.25">
      <c r="A114" s="6" t="s">
        <v>253</v>
      </c>
      <c r="B114" s="2" t="s">
        <v>591</v>
      </c>
      <c r="C114" s="2">
        <v>2016</v>
      </c>
      <c r="D114" s="32" t="str">
        <f>HYPERLINK("http://cgn.websites.wur.nl/website/pictures/Special_collection_CGNSC002/Juveniles/TKI 123 (2016-05-02).JPG","Yes")</f>
        <v>Yes</v>
      </c>
      <c r="E114" s="34" t="str">
        <f>HYPERLINK("http://cgn.websites.wur.nl/website/pictures/Special_collection_CGNSC002/Adults/TKI 123 (2016-05-26).JPG","Yes")</f>
        <v>Yes</v>
      </c>
      <c r="F114" s="33" t="str">
        <f>HYPERLINK("http://cgn.websites.wur.nl/website/pictures/Special_collection_CGNSC002/Flowers/TKI 123 (2016-07-25).JPG","Yes")</f>
        <v>Yes</v>
      </c>
      <c r="G114" s="33" t="str">
        <f>HYPERLINK("http://cgn.websites.wur.nl/website/pictures/Special_collection_CGNSC002/Seeds/TKI 123 (2016-11-30).JPG","Yes")</f>
        <v>Yes</v>
      </c>
      <c r="H114" s="1" t="s">
        <v>588</v>
      </c>
      <c r="I114" s="2"/>
      <c r="J114" s="15">
        <v>130</v>
      </c>
      <c r="K114" s="2"/>
      <c r="L114" s="2" t="s">
        <v>1877</v>
      </c>
      <c r="M114" s="2" t="s">
        <v>1875</v>
      </c>
      <c r="N114" s="37" t="s">
        <v>2010</v>
      </c>
    </row>
    <row r="115" spans="1:14" x14ac:dyDescent="0.25">
      <c r="A115" s="6" t="s">
        <v>254</v>
      </c>
      <c r="B115" s="2" t="s">
        <v>591</v>
      </c>
      <c r="C115" s="2">
        <v>2016</v>
      </c>
      <c r="D115" s="32" t="str">
        <f>HYPERLINK("http://cgn.websites.wur.nl/website/pictures/Special_collection_CGNSC002/Juveniles/TKI 124 (2016-05-02).JPG","Yes")</f>
        <v>Yes</v>
      </c>
      <c r="E115" s="34" t="str">
        <f>HYPERLINK("http://cgn.websites.wur.nl/website/pictures/Special_collection_CGNSC002/Adults/TKI 124 (2016-05-26).JPG","Yes")</f>
        <v>Yes</v>
      </c>
      <c r="F115" s="33" t="str">
        <f>HYPERLINK("http://cgn.websites.wur.nl/website/pictures/Special_collection_CGNSC002/Flowers/TKI 124 (2016-07-11).JPG","Yes")</f>
        <v>Yes</v>
      </c>
      <c r="G115" s="33" t="str">
        <f>HYPERLINK("http://cgn.websites.wur.nl/website/pictures/Special_collection_CGNSC002/Seeds/TKI 124 (2016-11-30).JPG","Yes")</f>
        <v>Yes</v>
      </c>
      <c r="H115" s="1" t="s">
        <v>587</v>
      </c>
      <c r="I115" s="2"/>
      <c r="J115" s="15">
        <v>105</v>
      </c>
      <c r="K115" s="2"/>
      <c r="L115" s="2" t="s">
        <v>1877</v>
      </c>
      <c r="M115" s="2"/>
      <c r="N115" s="37" t="s">
        <v>2011</v>
      </c>
    </row>
    <row r="116" spans="1:14" x14ac:dyDescent="0.25">
      <c r="A116" s="6" t="s">
        <v>255</v>
      </c>
      <c r="B116" s="2" t="s">
        <v>591</v>
      </c>
      <c r="C116" s="2">
        <v>2016</v>
      </c>
      <c r="D116" s="32" t="str">
        <f>HYPERLINK("http://cgn.websites.wur.nl/website/pictures/Special_collection_CGNSC002/Juveniles/TKI 125 (2016-05-03).JPG","Yes")</f>
        <v>Yes</v>
      </c>
      <c r="E116" s="34" t="str">
        <f>HYPERLINK("http://cgn.websites.wur.nl/website/pictures/Special_collection_CGNSC002/Adults/TKI 125 (2016-05-26).JPG","Yes")</f>
        <v>Yes</v>
      </c>
      <c r="F116" s="33" t="str">
        <f>HYPERLINK("http://cgn.websites.wur.nl/website/pictures/Special_collection_CGNSC002/Flowers/TKI 125 (2016-07-14).JPG","Yes")</f>
        <v>Yes</v>
      </c>
      <c r="G116" s="33" t="str">
        <f>HYPERLINK("http://cgn.websites.wur.nl/website/pictures/Special_collection_CGNSC002/Seeds/TKI 125 (2016-11-30).JPG","Yes")</f>
        <v>Yes</v>
      </c>
      <c r="H116" s="1" t="s">
        <v>588</v>
      </c>
      <c r="I116" s="2"/>
      <c r="J116" s="15">
        <v>116</v>
      </c>
      <c r="K116" s="2"/>
      <c r="L116" s="2" t="s">
        <v>1877</v>
      </c>
      <c r="M116" s="2" t="s">
        <v>1875</v>
      </c>
      <c r="N116" s="37" t="s">
        <v>2012</v>
      </c>
    </row>
    <row r="117" spans="1:14" x14ac:dyDescent="0.25">
      <c r="A117" s="6" t="s">
        <v>256</v>
      </c>
      <c r="B117" s="2" t="s">
        <v>591</v>
      </c>
      <c r="C117" s="2">
        <v>2016</v>
      </c>
      <c r="D117" s="32" t="str">
        <f>HYPERLINK("http://cgn.websites.wur.nl/website/pictures/Special_collection_CGNSC002/Juveniles/TKI 126 (2016-05-02).JPG","Yes")</f>
        <v>Yes</v>
      </c>
      <c r="E117" s="34" t="str">
        <f>HYPERLINK("http://cgn.websites.wur.nl/website/pictures/Special_collection_CGNSC002/Adults/TKI 126 (2016-05-26).JPG","Yes")</f>
        <v>Yes</v>
      </c>
      <c r="F117" s="33" t="str">
        <f>HYPERLINK("http://cgn.websites.wur.nl/website/pictures/Special_collection_CGNSC002/Flowers/TKI 126 (2016-07-25).JPG","Yes")</f>
        <v>Yes</v>
      </c>
      <c r="G117" s="33" t="str">
        <f>HYPERLINK("http://cgn.websites.wur.nl/website/pictures/Special_collection_CGNSC002/Seeds/TKI 126 (2016-12-07).JPG","Yes")</f>
        <v>Yes</v>
      </c>
      <c r="H117" s="1" t="s">
        <v>588</v>
      </c>
      <c r="I117" s="2"/>
      <c r="J117" s="15">
        <v>111</v>
      </c>
      <c r="K117" s="2"/>
      <c r="L117" s="2" t="s">
        <v>1877</v>
      </c>
      <c r="M117" s="2" t="s">
        <v>1875</v>
      </c>
      <c r="N117" s="37" t="s">
        <v>2013</v>
      </c>
    </row>
    <row r="118" spans="1:14" x14ac:dyDescent="0.25">
      <c r="A118" s="6" t="s">
        <v>257</v>
      </c>
      <c r="B118" s="2" t="s">
        <v>591</v>
      </c>
      <c r="C118" s="2">
        <v>2016</v>
      </c>
      <c r="D118" s="32" t="str">
        <f>HYPERLINK("http://cgn.websites.wur.nl/website/pictures/Special_collection_CGNSC002/Juveniles/TKI 127 (2016-05-02).JPG","Yes")</f>
        <v>Yes</v>
      </c>
      <c r="E118" s="34" t="str">
        <f>HYPERLINK("http://cgn.websites.wur.nl/website/pictures/Special_collection_CGNSC002/Adults/TKI 127 (2016-05-26).JPG","Yes")</f>
        <v>Yes</v>
      </c>
      <c r="F118" s="33" t="str">
        <f>HYPERLINK("http://cgn.websites.wur.nl/website/pictures/Special_collection_CGNSC002/Flowers/TKI 127 (2016-07-14).JPG","Yes")</f>
        <v>Yes</v>
      </c>
      <c r="G118" s="33" t="str">
        <f>HYPERLINK("http://cgn.websites.wur.nl/website/pictures/Special_collection_CGNSC002/Seeds/TKI 127 (2016-12-07).JPG","Yes")</f>
        <v>Yes</v>
      </c>
      <c r="H118" s="1" t="s">
        <v>587</v>
      </c>
      <c r="I118" s="2"/>
      <c r="J118" s="15">
        <v>95</v>
      </c>
      <c r="K118" s="2"/>
      <c r="L118" s="2" t="s">
        <v>1877</v>
      </c>
      <c r="M118" s="2" t="s">
        <v>1875</v>
      </c>
      <c r="N118" s="37" t="s">
        <v>2014</v>
      </c>
    </row>
    <row r="119" spans="1:14" x14ac:dyDescent="0.25">
      <c r="A119" s="6" t="s">
        <v>258</v>
      </c>
      <c r="B119" s="2" t="s">
        <v>591</v>
      </c>
      <c r="C119" s="2">
        <v>2016</v>
      </c>
      <c r="D119" s="32" t="str">
        <f>HYPERLINK("http://cgn.websites.wur.nl/website/pictures/Special_collection_CGNSC002/Juveniles/TKI 128 (2016-05-02).JPG","Yes")</f>
        <v>Yes</v>
      </c>
      <c r="E119" s="34" t="str">
        <f>HYPERLINK("http://cgn.websites.wur.nl/website/pictures/Special_collection_CGNSC002/Adults/TKI 128 (2016-05-26).JPG","Yes")</f>
        <v>Yes</v>
      </c>
      <c r="F119" s="33" t="str">
        <f>HYPERLINK("http://cgn.websites.wur.nl/website/pictures/Special_collection_CGNSC002/Flowers/TKI 128 (2016-06-23).JPG","Yes")</f>
        <v>Yes</v>
      </c>
      <c r="G119" s="33" t="str">
        <f>HYPERLINK("http://cgn.websites.wur.nl/website/pictures/Special_collection_CGNSC002/Seeds/TKI 128 (2016-12-07).JPG","Yes")</f>
        <v>Yes</v>
      </c>
      <c r="H119" s="1" t="s">
        <v>588</v>
      </c>
      <c r="I119" s="2"/>
      <c r="J119" s="15">
        <v>88</v>
      </c>
      <c r="K119" s="2"/>
      <c r="L119" s="2" t="s">
        <v>1877</v>
      </c>
      <c r="M119" s="2"/>
      <c r="N119" s="37" t="s">
        <v>2015</v>
      </c>
    </row>
    <row r="120" spans="1:14" x14ac:dyDescent="0.25">
      <c r="A120" s="6" t="s">
        <v>259</v>
      </c>
      <c r="B120" s="2" t="s">
        <v>591</v>
      </c>
      <c r="C120" s="2">
        <v>2016</v>
      </c>
      <c r="D120" s="32" t="str">
        <f>HYPERLINK("http://cgn.websites.wur.nl/website/pictures/Special_collection_CGNSC002/Juveniles/TKI 129 (2016-05-02).JPG","Yes")</f>
        <v>Yes</v>
      </c>
      <c r="E120" s="34" t="str">
        <f>HYPERLINK("http://cgn.websites.wur.nl/website/pictures/Special_collection_CGNSC002/Adults/TKI 129 (2016-05-26).JPG","Yes")</f>
        <v>Yes</v>
      </c>
      <c r="F120" s="33" t="str">
        <f>HYPERLINK("http://cgn.websites.wur.nl/website/pictures/Special_collection_CGNSC002/Flowers/TKI 129 (2016-07-14).JPG","Yes")</f>
        <v>Yes</v>
      </c>
      <c r="G120" s="33" t="str">
        <f>HYPERLINK("http://cgn.websites.wur.nl/website/pictures/Special_collection_CGNSC002/Seeds/TKI 129 (2016-12-07).JPG","Yes")</f>
        <v>Yes</v>
      </c>
      <c r="H120" s="1" t="s">
        <v>588</v>
      </c>
      <c r="I120" s="2"/>
      <c r="J120" s="15">
        <v>105</v>
      </c>
      <c r="K120" s="2"/>
      <c r="L120" s="2" t="s">
        <v>1877</v>
      </c>
      <c r="M120" s="2" t="s">
        <v>1875</v>
      </c>
      <c r="N120" s="37" t="s">
        <v>2016</v>
      </c>
    </row>
    <row r="121" spans="1:14" x14ac:dyDescent="0.25">
      <c r="A121" s="6" t="s">
        <v>260</v>
      </c>
      <c r="B121" s="2" t="s">
        <v>591</v>
      </c>
      <c r="C121" s="2">
        <v>2016</v>
      </c>
      <c r="D121" s="32" t="str">
        <f>HYPERLINK("http://cgn.websites.wur.nl/website/pictures/Special_collection_CGNSC002/Juveniles/TKI 130 (2016-05-02).JPG","Yes")</f>
        <v>Yes</v>
      </c>
      <c r="E121" s="34" t="str">
        <f>HYPERLINK("http://cgn.websites.wur.nl/website/pictures/Special_collection_CGNSC002/Adults/TKI 130 (2016-05-26).JPG","Yes")</f>
        <v>Yes</v>
      </c>
      <c r="F121" s="33" t="str">
        <f>HYPERLINK("http://cgn.websites.wur.nl/website/pictures/Special_collection_CGNSC002/Flowers/TKI 130 (2016-07-14).JPG","Yes")</f>
        <v>Yes</v>
      </c>
      <c r="G121" s="33" t="str">
        <f>HYPERLINK("http://cgn.websites.wur.nl/website/pictures/Special_collection_CGNSC002/Seeds/TKI 130 (2016-12-07).JPG","Yes")</f>
        <v>Yes</v>
      </c>
      <c r="H121" s="1" t="s">
        <v>587</v>
      </c>
      <c r="I121" s="2"/>
      <c r="J121" s="15">
        <v>111</v>
      </c>
      <c r="K121" s="2"/>
      <c r="L121" s="2" t="s">
        <v>1877</v>
      </c>
      <c r="M121" s="2" t="s">
        <v>1875</v>
      </c>
      <c r="N121" s="37" t="s">
        <v>2017</v>
      </c>
    </row>
    <row r="122" spans="1:14" x14ac:dyDescent="0.25">
      <c r="A122" s="6" t="s">
        <v>261</v>
      </c>
      <c r="B122" s="2" t="s">
        <v>591</v>
      </c>
      <c r="C122" s="2">
        <v>2016</v>
      </c>
      <c r="D122" s="32" t="str">
        <f>HYPERLINK("http://cgn.websites.wur.nl/website/pictures/Special_collection_CGNSC002/Juveniles/TKI 131 (2016-05-02).JPG","Yes")</f>
        <v>Yes</v>
      </c>
      <c r="E122" s="34" t="str">
        <f>HYPERLINK("http://cgn.websites.wur.nl/website/pictures/Special_collection_CGNSC002/Adults/TKI 131 (2016-05-26).JPG","Yes")</f>
        <v>Yes</v>
      </c>
      <c r="F122" s="33" t="str">
        <f>HYPERLINK("http://cgn.websites.wur.nl/website/pictures/Special_collection_CGNSC002/Flowers/TKI 131 (2016-07-28).JPG","Yes")</f>
        <v>Yes</v>
      </c>
      <c r="G122" s="33" t="str">
        <f>HYPERLINK("http://cgn.websites.wur.nl/website/pictures/Special_collection_CGNSC002/Seeds/TKI 131 (2016-12-07).JPG","Yes")</f>
        <v>Yes</v>
      </c>
      <c r="H122" s="1" t="s">
        <v>588</v>
      </c>
      <c r="I122" s="2"/>
      <c r="J122" s="15">
        <v>130</v>
      </c>
      <c r="K122" s="2"/>
      <c r="L122" s="2" t="s">
        <v>1877</v>
      </c>
      <c r="M122" s="2"/>
      <c r="N122" s="37" t="s">
        <v>2018</v>
      </c>
    </row>
    <row r="123" spans="1:14" x14ac:dyDescent="0.25">
      <c r="A123" s="6" t="s">
        <v>262</v>
      </c>
      <c r="B123" s="2" t="s">
        <v>591</v>
      </c>
      <c r="C123" s="2">
        <v>2016</v>
      </c>
      <c r="D123" s="32" t="str">
        <f>HYPERLINK("http://cgn.websites.wur.nl/website/pictures/Special_collection_CGNSC002/Juveniles/TKI 132 (2016-05-02).JPG","Yes")</f>
        <v>Yes</v>
      </c>
      <c r="E123" s="34" t="str">
        <f>HYPERLINK("http://cgn.websites.wur.nl/website/pictures/Special_collection_CGNSC002/Adults/TKI 132 (2016-05-26).JPG","Yes")</f>
        <v>Yes</v>
      </c>
      <c r="F123" s="33" t="str">
        <f>HYPERLINK("http://cgn.websites.wur.nl/website/pictures/Special_collection_CGNSC002/Flowers/TKI 132 (2016-07-28).JPG","Yes")</f>
        <v>Yes</v>
      </c>
      <c r="G123" s="33" t="str">
        <f>HYPERLINK("http://cgn.websites.wur.nl/website/pictures/Special_collection_CGNSC002/Seeds/TKI 132 (2016-12-07).JPG","Yes")</f>
        <v>Yes</v>
      </c>
      <c r="H123" s="1" t="s">
        <v>588</v>
      </c>
      <c r="I123" s="2"/>
      <c r="J123" s="15">
        <v>130</v>
      </c>
      <c r="K123" s="2"/>
      <c r="L123" s="2" t="s">
        <v>1877</v>
      </c>
      <c r="M123" s="2" t="s">
        <v>1875</v>
      </c>
      <c r="N123" s="37" t="s">
        <v>2019</v>
      </c>
    </row>
    <row r="124" spans="1:14" x14ac:dyDescent="0.25">
      <c r="A124" s="6" t="s">
        <v>263</v>
      </c>
      <c r="B124" s="2" t="s">
        <v>591</v>
      </c>
      <c r="C124" s="2">
        <v>2016</v>
      </c>
      <c r="D124" s="32" t="str">
        <f>HYPERLINK("http://cgn.websites.wur.nl/website/pictures/Special_collection_CGNSC002/Juveniles/TKI 134 (2016-05-02).JPG","Yes")</f>
        <v>Yes</v>
      </c>
      <c r="E124" s="34" t="str">
        <f>HYPERLINK("http://cgn.websites.wur.nl/website/pictures/Special_collection_CGNSC002/Adults/TKI 134 (2016-05-26).JPG","Yes")</f>
        <v>Yes</v>
      </c>
      <c r="F124" s="33" t="str">
        <f>HYPERLINK("http://cgn.websites.wur.nl/website/pictures/Special_collection_CGNSC002/Flowers/TKI 134 (2016-07-25).JPG","Yes")</f>
        <v>Yes</v>
      </c>
      <c r="G124" s="33" t="str">
        <f>HYPERLINK("http://cgn.websites.wur.nl/website/pictures/Special_collection_CGNSC002/Seeds/TKI 134 (2016-12-07).JPG","Yes")</f>
        <v>Yes</v>
      </c>
      <c r="H124" s="1" t="s">
        <v>587</v>
      </c>
      <c r="I124" s="2"/>
      <c r="J124" s="15">
        <v>123</v>
      </c>
      <c r="K124" s="2"/>
      <c r="L124" s="2" t="s">
        <v>1876</v>
      </c>
      <c r="M124" s="2" t="s">
        <v>1875</v>
      </c>
      <c r="N124" s="37" t="s">
        <v>2020</v>
      </c>
    </row>
    <row r="125" spans="1:14" x14ac:dyDescent="0.25">
      <c r="A125" s="6" t="s">
        <v>264</v>
      </c>
      <c r="B125" s="2" t="s">
        <v>591</v>
      </c>
      <c r="C125" s="2">
        <v>2016</v>
      </c>
      <c r="D125" s="32" t="str">
        <f>HYPERLINK("http://cgn.websites.wur.nl/website/pictures/Special_collection_CGNSC002/Juveniles/TKI 136 (2016-05-02).JPG","Yes")</f>
        <v>Yes</v>
      </c>
      <c r="E125" s="34" t="str">
        <f>HYPERLINK("http://cgn.websites.wur.nl/website/pictures/Special_collection_CGNSC002/Adults/TKI 136 (2016-05-26).JPG","Yes")</f>
        <v>Yes</v>
      </c>
      <c r="F125" s="33" t="str">
        <f>HYPERLINK("http://cgn.websites.wur.nl/website/pictures/Special_collection_CGNSC002/Flowers/TKI 136 (2016-07-04).JPG","Yes")</f>
        <v>Yes</v>
      </c>
      <c r="G125" s="33" t="str">
        <f>HYPERLINK("http://cgn.websites.wur.nl/website/pictures/Special_collection_CGNSC002/Seeds/TKI 136 (2016-12-07).JPG","Yes")</f>
        <v>Yes</v>
      </c>
      <c r="H125" s="1" t="s">
        <v>588</v>
      </c>
      <c r="I125" s="2"/>
      <c r="J125" s="15">
        <v>95</v>
      </c>
      <c r="K125" s="2"/>
      <c r="L125" s="2" t="s">
        <v>1877</v>
      </c>
      <c r="M125" s="2" t="s">
        <v>1875</v>
      </c>
      <c r="N125" s="37" t="s">
        <v>2021</v>
      </c>
    </row>
    <row r="126" spans="1:14" x14ac:dyDescent="0.25">
      <c r="A126" s="6" t="s">
        <v>265</v>
      </c>
      <c r="B126" s="2" t="s">
        <v>591</v>
      </c>
      <c r="C126" s="2">
        <v>2016</v>
      </c>
      <c r="D126" s="32" t="str">
        <f>HYPERLINK("http://cgn.websites.wur.nl/website/pictures/Special_collection_CGNSC002/Juveniles/TKI 137 (2016-05-02).JPG","Yes")</f>
        <v>Yes</v>
      </c>
      <c r="E126" s="34" t="str">
        <f>HYPERLINK("http://cgn.websites.wur.nl/website/pictures/Special_collection_CGNSC002/Adults/TKI 137 (2016-05-26).JPG","Yes")</f>
        <v>Yes</v>
      </c>
      <c r="F126" s="33" t="str">
        <f>HYPERLINK("http://cgn.websites.wur.nl/website/pictures/Special_collection_CGNSC002/Flowers/TKI 137 (2016-07-25).JPG","Yes")</f>
        <v>Yes</v>
      </c>
      <c r="G126" s="33" t="str">
        <f>HYPERLINK("http://cgn.websites.wur.nl/website/pictures/Special_collection_CGNSC002/Seeds/TKI 137 (2016-12-07).JPG","Yes")</f>
        <v>Yes</v>
      </c>
      <c r="H126" s="1" t="s">
        <v>588</v>
      </c>
      <c r="I126" s="2"/>
      <c r="J126" s="15">
        <v>123</v>
      </c>
      <c r="K126" s="2"/>
      <c r="L126" s="2" t="s">
        <v>1876</v>
      </c>
      <c r="M126" s="2" t="s">
        <v>1875</v>
      </c>
      <c r="N126" s="37" t="s">
        <v>2022</v>
      </c>
    </row>
    <row r="127" spans="1:14" x14ac:dyDescent="0.25">
      <c r="A127" s="6" t="s">
        <v>266</v>
      </c>
      <c r="B127" s="2" t="s">
        <v>591</v>
      </c>
      <c r="C127" s="2">
        <v>2016</v>
      </c>
      <c r="D127" s="32" t="str">
        <f>HYPERLINK("http://cgn.websites.wur.nl/website/pictures/Special_collection_CGNSC002/Juveniles/TKI 138 (2016-05-02).JPG","Yes")</f>
        <v>Yes</v>
      </c>
      <c r="E127" s="34" t="str">
        <f>HYPERLINK("http://cgn.websites.wur.nl/website/pictures/Special_collection_CGNSC002/Adults/TKI 138 (2016-05-26).JPG","Yes")</f>
        <v>Yes</v>
      </c>
      <c r="F127" s="33" t="str">
        <f>HYPERLINK("http://cgn.websites.wur.nl/website/pictures/Special_collection_CGNSC002/Flowers/TKI 138 (2016-07-14).JPG","Yes")</f>
        <v>Yes</v>
      </c>
      <c r="G127" s="33" t="str">
        <f>HYPERLINK("http://cgn.websites.wur.nl/website/pictures/Special_collection_CGNSC002/Seeds/TKI 138 (2016-12-07).JPG","Yes")</f>
        <v>Yes</v>
      </c>
      <c r="H127" s="1" t="s">
        <v>587</v>
      </c>
      <c r="I127" s="2"/>
      <c r="J127" s="15">
        <v>102</v>
      </c>
      <c r="K127" s="2"/>
      <c r="L127" s="2" t="s">
        <v>1876</v>
      </c>
      <c r="M127" s="2" t="s">
        <v>1875</v>
      </c>
      <c r="N127" s="37" t="s">
        <v>2023</v>
      </c>
    </row>
    <row r="128" spans="1:14" x14ac:dyDescent="0.25">
      <c r="A128" s="6" t="s">
        <v>267</v>
      </c>
      <c r="B128" s="2" t="s">
        <v>591</v>
      </c>
      <c r="C128" s="2">
        <v>2016</v>
      </c>
      <c r="D128" s="32" t="str">
        <f>HYPERLINK("http://cgn.websites.wur.nl/website/pictures/Special_collection_CGNSC002/Juveniles/TKI 139 (2016-05-02).JPG","Yes")</f>
        <v>Yes</v>
      </c>
      <c r="E128" s="34" t="str">
        <f>HYPERLINK("http://cgn.websites.wur.nl/website/pictures/Special_collection_CGNSC002/Adults/TKI 139 (2016-05-26).JPG","Yes")</f>
        <v>Yes</v>
      </c>
      <c r="F128" s="33" t="str">
        <f>HYPERLINK("http://cgn.websites.wur.nl/website/pictures/Special_collection_CGNSC002/Flowers/TKI 139 (2016-06-09).JPG","Yes")</f>
        <v>Yes</v>
      </c>
      <c r="G128" s="33" t="str">
        <f>HYPERLINK("http://cgn.websites.wur.nl/website/pictures/Special_collection_CGNSC002/Seeds/TKI 139 (2016-12-07).JPG","Yes")</f>
        <v>Yes</v>
      </c>
      <c r="H128" s="1" t="s">
        <v>588</v>
      </c>
      <c r="I128" s="2"/>
      <c r="J128" s="15">
        <v>75</v>
      </c>
      <c r="K128" s="2" t="s">
        <v>671</v>
      </c>
      <c r="L128" s="2" t="s">
        <v>1876</v>
      </c>
      <c r="M128" s="2" t="s">
        <v>1875</v>
      </c>
      <c r="N128" s="37" t="s">
        <v>2024</v>
      </c>
    </row>
    <row r="129" spans="1:14" x14ac:dyDescent="0.25">
      <c r="A129" s="6" t="s">
        <v>268</v>
      </c>
      <c r="B129" s="2" t="s">
        <v>591</v>
      </c>
      <c r="C129" s="2">
        <v>2016</v>
      </c>
      <c r="D129" s="32" t="str">
        <f>HYPERLINK("http://cgn.websites.wur.nl/website/pictures/Special_collection_CGNSC002/Juveniles/TKI 140 (2016-05-02).JPG","Yes")</f>
        <v>Yes</v>
      </c>
      <c r="E129" s="34" t="str">
        <f>HYPERLINK("http://cgn.websites.wur.nl/website/pictures/Special_collection_CGNSC002/Adults/TKI 140 (2016-05-30).JPG","Yes")</f>
        <v>Yes</v>
      </c>
      <c r="F129" s="33" t="str">
        <f>HYPERLINK("http://cgn.websites.wur.nl/website/pictures/Special_collection_CGNSC002/Flowers/TKI 140 (2016-06-09).JPG","Yes")</f>
        <v>Yes</v>
      </c>
      <c r="G129" s="33" t="str">
        <f>HYPERLINK("http://cgn.websites.wur.nl/website/pictures/Special_collection_CGNSC002/Seeds/TKI 140 (2017-01-18).JPG","Yes")</f>
        <v>Yes</v>
      </c>
      <c r="H129" s="1"/>
      <c r="I129" s="2" t="s">
        <v>599</v>
      </c>
      <c r="J129" s="15">
        <v>117</v>
      </c>
      <c r="K129" s="2" t="s">
        <v>670</v>
      </c>
      <c r="L129" s="2" t="s">
        <v>1876</v>
      </c>
      <c r="M129" s="2" t="s">
        <v>1875</v>
      </c>
      <c r="N129" s="37" t="s">
        <v>2025</v>
      </c>
    </row>
    <row r="130" spans="1:14" x14ac:dyDescent="0.25">
      <c r="A130" s="6" t="s">
        <v>269</v>
      </c>
      <c r="B130" s="2" t="s">
        <v>591</v>
      </c>
      <c r="C130" s="2">
        <v>2016</v>
      </c>
      <c r="D130" s="32" t="str">
        <f>HYPERLINK("http://cgn.websites.wur.nl/website/pictures/Special_collection_CGNSC002/Juveniles/TKI 141 (2016-05-02).JPG","Yes")</f>
        <v>Yes</v>
      </c>
      <c r="E130" s="34" t="str">
        <f>HYPERLINK("http://cgn.websites.wur.nl/website/pictures/Special_collection_CGNSC002/Adults/TKI 141 (2016-05-30).JPG","Yes")</f>
        <v>Yes</v>
      </c>
      <c r="F130" s="33" t="str">
        <f>HYPERLINK("http://cgn.websites.wur.nl/website/pictures/Special_collection_CGNSC002/Flowers/TKI 141 (2016-06-09).JPG","Yes")</f>
        <v>Yes</v>
      </c>
      <c r="G130" s="33" t="str">
        <f>HYPERLINK("http://cgn.websites.wur.nl/website/pictures/Special_collection_CGNSC002/Seeds/TKI 141 (2017-01-18).JPG","Yes")</f>
        <v>Yes</v>
      </c>
      <c r="H130" s="1"/>
      <c r="I130" s="2" t="s">
        <v>599</v>
      </c>
      <c r="J130" s="15">
        <v>117</v>
      </c>
      <c r="K130" s="2" t="s">
        <v>670</v>
      </c>
      <c r="L130" s="2" t="s">
        <v>1877</v>
      </c>
      <c r="M130" s="2"/>
      <c r="N130" s="37" t="s">
        <v>2026</v>
      </c>
    </row>
    <row r="131" spans="1:14" x14ac:dyDescent="0.25">
      <c r="A131" s="6" t="s">
        <v>270</v>
      </c>
      <c r="B131" s="2" t="s">
        <v>591</v>
      </c>
      <c r="C131" s="2">
        <v>2016</v>
      </c>
      <c r="D131" s="32" t="str">
        <f>HYPERLINK("http://cgn.websites.wur.nl/website/pictures/Special_collection_CGNSC002/Juveniles/TKI 142 (2016-05-02).JPG","Yes")</f>
        <v>Yes</v>
      </c>
      <c r="E131" s="34" t="str">
        <f>HYPERLINK("http://cgn.websites.wur.nl/website/pictures/Special_collection_CGNSC002/Adults/TKI 142 (2016-05-30).JPG","Yes")</f>
        <v>Yes</v>
      </c>
      <c r="F131" s="33" t="str">
        <f>HYPERLINK("http://cgn.websites.wur.nl/website/pictures/Special_collection_CGNSC002/Flowers/TKI 142 (2016-06-27).JPG","Yes")</f>
        <v>Yes</v>
      </c>
      <c r="G131" s="33" t="str">
        <f>HYPERLINK("http://cgn.websites.wur.nl/website/pictures/Special_collection_CGNSC002/Seeds/TKI 142 (2017-01-18).JPG","Yes")</f>
        <v>Yes</v>
      </c>
      <c r="H131" s="1"/>
      <c r="I131" s="2" t="s">
        <v>600</v>
      </c>
      <c r="J131" s="15">
        <v>124</v>
      </c>
      <c r="K131" s="2"/>
      <c r="L131" s="2" t="s">
        <v>1877</v>
      </c>
      <c r="M131" s="2"/>
      <c r="N131" s="37" t="s">
        <v>2027</v>
      </c>
    </row>
    <row r="132" spans="1:14" x14ac:dyDescent="0.25">
      <c r="A132" s="6" t="s">
        <v>271</v>
      </c>
      <c r="B132" s="2" t="s">
        <v>591</v>
      </c>
      <c r="C132" s="2">
        <v>2016</v>
      </c>
      <c r="D132" s="32" t="str">
        <f>HYPERLINK("http://cgn.websites.wur.nl/website/pictures/Special_collection_CGNSC002/Juveniles/TKI 143 (2016-05-02).JPG","Yes")</f>
        <v>Yes</v>
      </c>
      <c r="E132" s="34" t="str">
        <f>HYPERLINK("http://cgn.websites.wur.nl/website/pictures/Special_collection_CGNSC002/Adults/TKI 143 (2016-05-30).JPG","Yes")</f>
        <v>Yes</v>
      </c>
      <c r="F132" s="33" t="str">
        <f>HYPERLINK("http://cgn.websites.wur.nl/website/pictures/Special_collection_CGNSC002/Flowers/TKI 143 (2016-06-27).JPG","Yes")</f>
        <v>Yes</v>
      </c>
      <c r="G132" s="33" t="str">
        <f>HYPERLINK("http://cgn.websites.wur.nl/website/pictures/Special_collection_CGNSC002/Seeds/TKI 143 (2017-01-18).JPG","Yes")</f>
        <v>Yes</v>
      </c>
      <c r="H132" s="1"/>
      <c r="I132" s="2" t="s">
        <v>600</v>
      </c>
      <c r="J132" s="15">
        <v>130</v>
      </c>
      <c r="K132" s="2"/>
      <c r="L132" s="2" t="s">
        <v>1877</v>
      </c>
      <c r="M132" s="2"/>
      <c r="N132" s="37" t="s">
        <v>2028</v>
      </c>
    </row>
    <row r="133" spans="1:14" x14ac:dyDescent="0.25">
      <c r="A133" s="6" t="s">
        <v>272</v>
      </c>
      <c r="B133" s="2" t="s">
        <v>591</v>
      </c>
      <c r="C133" s="2">
        <v>2016</v>
      </c>
      <c r="D133" s="32" t="str">
        <f>HYPERLINK("http://cgn.websites.wur.nl/website/pictures/Special_collection_CGNSC002/Juveniles/TKI 144 (2016-05-02).JPG","Yes")</f>
        <v>Yes</v>
      </c>
      <c r="E133" s="34" t="str">
        <f>HYPERLINK("http://cgn.websites.wur.nl/website/pictures/Special_collection_CGNSC002/Adults/TKI 144 (2016-05-30).JPG","Yes")</f>
        <v>Yes</v>
      </c>
      <c r="F133" s="33" t="str">
        <f>HYPERLINK("http://cgn.websites.wur.nl/website/pictures/Special_collection_CGNSC002/Flowers/TKI 144 (2016-06-27).JPG","Yes")</f>
        <v>Yes</v>
      </c>
      <c r="G133" s="33" t="str">
        <f>HYPERLINK("http://cgn.websites.wur.nl/website/pictures/Special_collection_CGNSC002/Seeds/TKI 144 (2017-01-18).JPG","Yes")</f>
        <v>Yes</v>
      </c>
      <c r="H133" s="1"/>
      <c r="I133" s="2" t="s">
        <v>599</v>
      </c>
      <c r="J133" s="15">
        <v>124</v>
      </c>
      <c r="K133" s="2" t="s">
        <v>606</v>
      </c>
      <c r="L133" s="2" t="s">
        <v>1877</v>
      </c>
      <c r="M133" s="2"/>
      <c r="N133" s="37" t="s">
        <v>2029</v>
      </c>
    </row>
    <row r="134" spans="1:14" x14ac:dyDescent="0.25">
      <c r="A134" s="6" t="s">
        <v>273</v>
      </c>
      <c r="B134" s="2" t="s">
        <v>591</v>
      </c>
      <c r="C134" s="2">
        <v>2016</v>
      </c>
      <c r="D134" s="32" t="str">
        <f>HYPERLINK("http://cgn.websites.wur.nl/website/pictures/Special_collection_CGNSC002/Juveniles/TKI 145 (2016-05-02).JPG","Yes")</f>
        <v>Yes</v>
      </c>
      <c r="E134" s="34" t="str">
        <f>HYPERLINK("http://cgn.websites.wur.nl/website/pictures/Special_collection_CGNSC002/Adults/TKI 145 (2016-05-30).JPG","Yes")</f>
        <v>Yes</v>
      </c>
      <c r="F134" s="33"/>
      <c r="G134" s="33" t="str">
        <f>HYPERLINK("http://cgn.websites.wur.nl/website/pictures/Special_collection_CGNSC002/Seeds/TKI 145 (2017-01-18).JPG","Yes")</f>
        <v>Yes</v>
      </c>
      <c r="H134" s="1"/>
      <c r="I134" s="2" t="s">
        <v>600</v>
      </c>
      <c r="J134" s="15">
        <v>124</v>
      </c>
      <c r="K134" s="2" t="s">
        <v>642</v>
      </c>
      <c r="L134" s="2" t="s">
        <v>1877</v>
      </c>
      <c r="M134" s="2"/>
      <c r="N134" s="37" t="s">
        <v>2030</v>
      </c>
    </row>
    <row r="135" spans="1:14" x14ac:dyDescent="0.25">
      <c r="A135" s="6" t="s">
        <v>274</v>
      </c>
      <c r="B135" s="2" t="s">
        <v>591</v>
      </c>
      <c r="C135" s="2">
        <v>2016</v>
      </c>
      <c r="D135" s="32" t="str">
        <f>HYPERLINK("http://cgn.websites.wur.nl/website/pictures/Special_collection_CGNSC002/Juveniles/TKI 146 (2016-05-02).JPG","Yes")</f>
        <v>Yes</v>
      </c>
      <c r="E135" s="34" t="str">
        <f>HYPERLINK("http://cgn.websites.wur.nl/website/pictures/Special_collection_CGNSC002/Adults/TKI 146 (2016-05-30).JPG","Yes")</f>
        <v>Yes</v>
      </c>
      <c r="F135" s="33" t="str">
        <f>HYPERLINK("http://cgn.websites.wur.nl/website/pictures/Special_collection_CGNSC002/Flowers/TKI 146 (2016-07-28).JPG","Yes")</f>
        <v>Yes</v>
      </c>
      <c r="G135" s="33" t="str">
        <f>HYPERLINK("http://cgn.websites.wur.nl/website/pictures/Special_collection_CGNSC002/Seeds/TKI 146 (2017-01-18).JPG","Yes")</f>
        <v>Yes</v>
      </c>
      <c r="H135" s="1"/>
      <c r="I135" s="2" t="s">
        <v>600</v>
      </c>
      <c r="J135" s="15">
        <v>137</v>
      </c>
      <c r="K135" s="2"/>
      <c r="L135" s="2" t="s">
        <v>1877</v>
      </c>
      <c r="M135" s="2"/>
      <c r="N135" s="37" t="s">
        <v>2031</v>
      </c>
    </row>
    <row r="136" spans="1:14" x14ac:dyDescent="0.25">
      <c r="A136" s="6" t="s">
        <v>275</v>
      </c>
      <c r="B136" s="2" t="s">
        <v>591</v>
      </c>
      <c r="C136" s="2">
        <v>2016</v>
      </c>
      <c r="D136" s="32" t="str">
        <f>HYPERLINK("http://cgn.websites.wur.nl/website/pictures/Special_collection_CGNSC002/Juveniles/TKI 147 (2016-05-02).JPG","Yes")</f>
        <v>Yes</v>
      </c>
      <c r="E136" s="34" t="str">
        <f>HYPERLINK("http://cgn.websites.wur.nl/website/pictures/Special_collection_CGNSC002/Adults/TKI 147 (2016-05-30).JPG","Yes")</f>
        <v>Yes</v>
      </c>
      <c r="F136" s="33" t="str">
        <f>HYPERLINK("http://cgn.websites.wur.nl/website/pictures/Special_collection_CGNSC002/Flowers/TKI 147 (2016-06-27).JPG","Yes")</f>
        <v>Yes</v>
      </c>
      <c r="G136" s="33" t="str">
        <f>HYPERLINK("http://cgn.websites.wur.nl/website/pictures/Special_collection_CGNSC002/Seeds/TKI 147 (2017-01-18).JPG","Yes")</f>
        <v>Yes</v>
      </c>
      <c r="H136" s="1"/>
      <c r="I136" s="2" t="s">
        <v>599</v>
      </c>
      <c r="J136" s="15">
        <v>124</v>
      </c>
      <c r="K136" s="2" t="s">
        <v>643</v>
      </c>
      <c r="L136" s="2" t="s">
        <v>1877</v>
      </c>
      <c r="M136" s="2"/>
      <c r="N136" s="37" t="s">
        <v>2032</v>
      </c>
    </row>
    <row r="137" spans="1:14" x14ac:dyDescent="0.25">
      <c r="A137" s="6" t="s">
        <v>276</v>
      </c>
      <c r="B137" s="2" t="s">
        <v>591</v>
      </c>
      <c r="C137" s="2">
        <v>2016</v>
      </c>
      <c r="D137" s="32" t="str">
        <f>HYPERLINK("http://cgn.websites.wur.nl/website/pictures/Special_collection_CGNSC002/Juveniles/TKI 148 (2016-05-02).JPG","Yes")</f>
        <v>Yes</v>
      </c>
      <c r="E137" s="34" t="str">
        <f>HYPERLINK("http://cgn.websites.wur.nl/website/pictures/Special_collection_CGNSC002/Adults/TKI 148 (2016-05-30).JPG","Yes")</f>
        <v>Yes</v>
      </c>
      <c r="F137" s="33" t="str">
        <f>HYPERLINK("http://cgn.websites.wur.nl/website/pictures/Special_collection_CGNSC002/Flowers/TKI 148 (2016-07-28).JPG","Yes")</f>
        <v>Yes</v>
      </c>
      <c r="G137" s="33" t="str">
        <f>HYPERLINK("http://cgn.websites.wur.nl/website/pictures/Special_collection_CGNSC002/Seeds/TKI 148 (2017-01-18).JPG","Yes")</f>
        <v>Yes</v>
      </c>
      <c r="H137" s="1"/>
      <c r="I137" s="2" t="s">
        <v>600</v>
      </c>
      <c r="J137" s="15">
        <v>137</v>
      </c>
      <c r="K137" s="2"/>
      <c r="L137" s="2" t="s">
        <v>1877</v>
      </c>
      <c r="M137" s="2"/>
      <c r="N137" s="37" t="s">
        <v>2033</v>
      </c>
    </row>
    <row r="138" spans="1:14" x14ac:dyDescent="0.25">
      <c r="A138" s="6" t="s">
        <v>277</v>
      </c>
      <c r="B138" s="2" t="s">
        <v>591</v>
      </c>
      <c r="C138" s="2">
        <v>2016</v>
      </c>
      <c r="D138" s="32" t="str">
        <f>HYPERLINK("http://cgn.websites.wur.nl/website/pictures/Special_collection_CGNSC002/Juveniles/TKI 149 (2016-05-02).JPG","Yes")</f>
        <v>Yes</v>
      </c>
      <c r="E138" s="34" t="str">
        <f>HYPERLINK("http://cgn.websites.wur.nl/website/pictures/Special_collection_CGNSC002/Adults/TKI 149 (2016-05-30).JPG","Yes")</f>
        <v>Yes</v>
      </c>
      <c r="F138" s="33" t="str">
        <f>HYPERLINK("http://cgn.websites.wur.nl/website/pictures/Special_collection_CGNSC002/Flowers/TKI 149 (2016-06-09).JPG","Yes")</f>
        <v>Yes</v>
      </c>
      <c r="G138" s="33" t="str">
        <f>HYPERLINK("http://cgn.websites.wur.nl/website/pictures/Special_collection_CGNSC002/Seeds/TKI 149 (2017-01-18).JPG","Yes")</f>
        <v>Yes</v>
      </c>
      <c r="H138" s="1"/>
      <c r="I138" s="2" t="s">
        <v>600</v>
      </c>
      <c r="J138" s="15">
        <v>124</v>
      </c>
      <c r="K138" s="2" t="s">
        <v>605</v>
      </c>
      <c r="L138" s="2" t="s">
        <v>1877</v>
      </c>
      <c r="M138" s="2"/>
      <c r="N138" s="37" t="s">
        <v>2034</v>
      </c>
    </row>
    <row r="139" spans="1:14" x14ac:dyDescent="0.25">
      <c r="A139" s="6" t="s">
        <v>278</v>
      </c>
      <c r="B139" s="2" t="s">
        <v>591</v>
      </c>
      <c r="C139" s="2">
        <v>2016</v>
      </c>
      <c r="D139" s="32" t="str">
        <f>HYPERLINK("http://cgn.websites.wur.nl/website/pictures/Special_collection_CGNSC002/Juveniles/TKI 150 (2016-05-02).JPG","Yes")</f>
        <v>Yes</v>
      </c>
      <c r="E139" s="34" t="str">
        <f>HYPERLINK("http://cgn.websites.wur.nl/website/pictures/Special_collection_CGNSC002/Adults/TKI 150 (2016-05-30).JPG","Yes")</f>
        <v>Yes</v>
      </c>
      <c r="F139" s="33"/>
      <c r="G139" s="33" t="str">
        <f>HYPERLINK("http://cgn.websites.wur.nl/website/pictures/Special_collection_CGNSC002/Seeds/TKI 150 (2017-01-18).JPG","Yes")</f>
        <v>Yes</v>
      </c>
      <c r="H139" s="1"/>
      <c r="I139" s="2" t="s">
        <v>600</v>
      </c>
      <c r="J139" s="15">
        <v>147</v>
      </c>
      <c r="K139" s="2"/>
      <c r="L139" s="2" t="s">
        <v>1876</v>
      </c>
      <c r="M139" s="2" t="s">
        <v>1875</v>
      </c>
      <c r="N139" s="37" t="s">
        <v>2035</v>
      </c>
    </row>
    <row r="140" spans="1:14" x14ac:dyDescent="0.25">
      <c r="A140" s="6" t="s">
        <v>279</v>
      </c>
      <c r="B140" s="2" t="s">
        <v>591</v>
      </c>
      <c r="C140" s="2">
        <v>2016</v>
      </c>
      <c r="D140" s="32" t="str">
        <f>HYPERLINK("http://cgn.websites.wur.nl/website/pictures/Special_collection_CGNSC002/Juveniles/TKI 151 (2016-05-02).JPG","Yes")</f>
        <v>Yes</v>
      </c>
      <c r="E140" s="34" t="str">
        <f>HYPERLINK("http://cgn.websites.wur.nl/website/pictures/Special_collection_CGNSC002/Adults/TKI 151 (2016-05-30).JPG","Yes")</f>
        <v>Yes</v>
      </c>
      <c r="F140" s="33" t="str">
        <f>HYPERLINK("http://cgn.websites.wur.nl/website/pictures/Special_collection_CGNSC002/Flowers/TKI 151 (2016-06-27).JPG","Yes")</f>
        <v>Yes</v>
      </c>
      <c r="G140" s="33" t="str">
        <f>HYPERLINK("http://cgn.websites.wur.nl/website/pictures/Special_collection_CGNSC002/Seeds/TKI 151 (2017-01-18).JPG","Yes")</f>
        <v>Yes</v>
      </c>
      <c r="H140" s="1"/>
      <c r="I140" s="2" t="s">
        <v>600</v>
      </c>
      <c r="J140" s="15">
        <v>137</v>
      </c>
      <c r="K140" s="2"/>
      <c r="L140" s="2" t="s">
        <v>1877</v>
      </c>
      <c r="M140" s="2"/>
      <c r="N140" s="37" t="s">
        <v>2036</v>
      </c>
    </row>
    <row r="141" spans="1:14" x14ac:dyDescent="0.25">
      <c r="A141" s="6" t="s">
        <v>280</v>
      </c>
      <c r="B141" s="2" t="s">
        <v>591</v>
      </c>
      <c r="C141" s="2">
        <v>2016</v>
      </c>
      <c r="D141" s="32" t="str">
        <f>HYPERLINK("http://cgn.websites.wur.nl/website/pictures/Special_collection_CGNSC002/Juveniles/TKI 152 (2016-05-02).JPG","Yes")</f>
        <v>Yes</v>
      </c>
      <c r="E141" s="34" t="str">
        <f>HYPERLINK("http://cgn.websites.wur.nl/website/pictures/Special_collection_CGNSC002/Adults/TKI 152 (2016-05-30).JPG","Yes")</f>
        <v>Yes</v>
      </c>
      <c r="F141" s="33" t="str">
        <f>HYPERLINK("http://cgn.websites.wur.nl/website/pictures/Special_collection_CGNSC002/Flowers/TKI 152 (2016-08-15).JPG","Yes")</f>
        <v>Yes</v>
      </c>
      <c r="G141" s="33" t="str">
        <f>HYPERLINK("http://cgn.websites.wur.nl/website/pictures/Special_collection_CGNSC002/Seeds/TKI 152 (2017-01-18).JPG","Yes")</f>
        <v>Yes</v>
      </c>
      <c r="H141" s="1"/>
      <c r="I141" s="2" t="s">
        <v>599</v>
      </c>
      <c r="J141" s="15">
        <v>137</v>
      </c>
      <c r="K141" s="2"/>
      <c r="L141" s="2" t="s">
        <v>1877</v>
      </c>
      <c r="M141" s="2"/>
      <c r="N141" s="37" t="s">
        <v>2037</v>
      </c>
    </row>
    <row r="142" spans="1:14" x14ac:dyDescent="0.25">
      <c r="A142" s="6" t="s">
        <v>281</v>
      </c>
      <c r="B142" s="2" t="s">
        <v>591</v>
      </c>
      <c r="C142" s="2">
        <v>2016</v>
      </c>
      <c r="D142" s="32" t="str">
        <f>HYPERLINK("http://cgn.websites.wur.nl/website/pictures/Special_collection_CGNSC002/Juveniles/TKI 153 (2016-05-02).JPG","Yes")</f>
        <v>Yes</v>
      </c>
      <c r="E142" s="34" t="str">
        <f>HYPERLINK("http://cgn.websites.wur.nl/website/pictures/Special_collection_CGNSC002/Adults/TKI 153 (2016-05-30).JPG","Yes")</f>
        <v>Yes</v>
      </c>
      <c r="F142" s="33" t="str">
        <f>HYPERLINK("http://cgn.websites.wur.nl/website/pictures/Special_collection_CGNSC002/Flowers/TKI 153 (2016-06-27).JPG","Yes")</f>
        <v>Yes</v>
      </c>
      <c r="G142" s="33" t="str">
        <f>HYPERLINK("http://cgn.websites.wur.nl/website/pictures/Special_collection_CGNSC002/Seeds/TKI 153 (2017-01-18).JPG","Yes")</f>
        <v>Yes</v>
      </c>
      <c r="H142" s="1"/>
      <c r="I142" s="2" t="s">
        <v>600</v>
      </c>
      <c r="J142" s="15">
        <v>137</v>
      </c>
      <c r="K142" s="2"/>
      <c r="L142" s="2" t="s">
        <v>1877</v>
      </c>
      <c r="M142" s="2"/>
      <c r="N142" s="37" t="s">
        <v>2038</v>
      </c>
    </row>
    <row r="143" spans="1:14" x14ac:dyDescent="0.25">
      <c r="A143" s="6" t="s">
        <v>282</v>
      </c>
      <c r="B143" s="2" t="s">
        <v>591</v>
      </c>
      <c r="C143" s="2">
        <v>2016</v>
      </c>
      <c r="D143" s="32" t="str">
        <f>HYPERLINK("http://cgn.websites.wur.nl/website/pictures/Special_collection_CGNSC002/Juveniles/TKI 154 (2016-05-02).JPG","Yes")</f>
        <v>Yes</v>
      </c>
      <c r="E143" s="34" t="str">
        <f>HYPERLINK("http://cgn.websites.wur.nl/website/pictures/Special_collection_CGNSC002/Adults/TKI 154 (2016-05-30).JPG","Yes")</f>
        <v>Yes</v>
      </c>
      <c r="F143" s="33"/>
      <c r="G143" s="33" t="str">
        <f>HYPERLINK("http://cgn.websites.wur.nl/website/pictures/Special_collection_CGNSC002/Seeds/TKI 154 (2017-01-18).JPG","Yes")</f>
        <v>Yes</v>
      </c>
      <c r="H143" s="1"/>
      <c r="I143" s="2" t="s">
        <v>600</v>
      </c>
      <c r="J143" s="15">
        <v>137</v>
      </c>
      <c r="K143" s="2"/>
      <c r="L143" s="2" t="s">
        <v>1877</v>
      </c>
      <c r="M143" s="2"/>
      <c r="N143" s="37" t="s">
        <v>2039</v>
      </c>
    </row>
    <row r="144" spans="1:14" x14ac:dyDescent="0.25">
      <c r="A144" s="6" t="s">
        <v>283</v>
      </c>
      <c r="B144" s="2" t="s">
        <v>591</v>
      </c>
      <c r="C144" s="2">
        <v>2016</v>
      </c>
      <c r="D144" s="32" t="str">
        <f>HYPERLINK("http://cgn.websites.wur.nl/website/pictures/Special_collection_CGNSC002/Juveniles/TKI 155 (2016-05-02).JPG","Yes")</f>
        <v>Yes</v>
      </c>
      <c r="E144" s="34" t="str">
        <f>HYPERLINK("http://cgn.websites.wur.nl/website/pictures/Special_collection_CGNSC002/Adults/TKI 155 (2016-05-30).JPG","Yes")</f>
        <v>Yes</v>
      </c>
      <c r="F144" s="33" t="str">
        <f>HYPERLINK("http://cgn.websites.wur.nl/website/pictures/Special_collection_CGNSC002/Flowers/TKI 155 (2016-06-27).JPG","Yes")</f>
        <v>Yes</v>
      </c>
      <c r="G144" s="33" t="str">
        <f>HYPERLINK("http://cgn.websites.wur.nl/website/pictures/Special_collection_CGNSC002/Seeds/TKI 155 (2017-01-18).JPG","Yes")</f>
        <v>Yes</v>
      </c>
      <c r="H144" s="1"/>
      <c r="I144" s="2" t="s">
        <v>600</v>
      </c>
      <c r="J144" s="15">
        <v>124</v>
      </c>
      <c r="K144" s="2"/>
      <c r="L144" s="2" t="s">
        <v>1877</v>
      </c>
      <c r="M144" s="2"/>
      <c r="N144" s="37" t="s">
        <v>2040</v>
      </c>
    </row>
    <row r="145" spans="1:14" x14ac:dyDescent="0.25">
      <c r="A145" s="6" t="s">
        <v>284</v>
      </c>
      <c r="B145" s="2" t="s">
        <v>591</v>
      </c>
      <c r="C145" s="2">
        <v>2016</v>
      </c>
      <c r="D145" s="32" t="str">
        <f>HYPERLINK("http://cgn.websites.wur.nl/website/pictures/Special_collection_CGNSC002/Juveniles/TKI 156 (2016-05-02).JPG","Yes")</f>
        <v>Yes</v>
      </c>
      <c r="E145" s="34" t="str">
        <f>HYPERLINK("http://cgn.websites.wur.nl/website/pictures/Special_collection_CGNSC002/Adults/TKI 156 (2016-05-30).JPG","Yes")</f>
        <v>Yes</v>
      </c>
      <c r="F145" s="33" t="str">
        <f>HYPERLINK("http://cgn.websites.wur.nl/website/pictures/Special_collection_CGNSC002/Flowers/TKI 156 (2016-08-01).JPG","Yes")</f>
        <v>Yes</v>
      </c>
      <c r="G145" s="33" t="str">
        <f>HYPERLINK("http://cgn.websites.wur.nl/website/pictures/Special_collection_CGNSC002/Seeds/TKI 156 (2017-01-18).JPG","Yes")</f>
        <v>Yes</v>
      </c>
      <c r="H145" s="1"/>
      <c r="I145" s="2" t="s">
        <v>600</v>
      </c>
      <c r="J145" s="15">
        <v>153</v>
      </c>
      <c r="K145" s="2"/>
      <c r="L145" s="2" t="s">
        <v>1877</v>
      </c>
      <c r="M145" s="2"/>
      <c r="N145" s="37" t="s">
        <v>2041</v>
      </c>
    </row>
    <row r="146" spans="1:14" x14ac:dyDescent="0.25">
      <c r="A146" s="6" t="s">
        <v>285</v>
      </c>
      <c r="B146" s="2" t="s">
        <v>591</v>
      </c>
      <c r="C146" s="2">
        <v>2016</v>
      </c>
      <c r="D146" s="32" t="str">
        <f>HYPERLINK("http://cgn.websites.wur.nl/website/pictures/Special_collection_CGNSC002/Juveniles/TKI 157 (2016-05-02).JPG","Yes")</f>
        <v>Yes</v>
      </c>
      <c r="E146" s="34" t="str">
        <f>HYPERLINK("http://cgn.websites.wur.nl/website/pictures/Special_collection_CGNSC002/Adults/TKI 157 (2016-05-30).JPG","Yes")</f>
        <v>Yes</v>
      </c>
      <c r="F146" s="33" t="str">
        <f>HYPERLINK("http://cgn.websites.wur.nl/website/pictures/Special_collection_CGNSC002/Flowers/TKI 157 (2016-06-27).JPG","Yes")</f>
        <v>Yes</v>
      </c>
      <c r="G146" s="33" t="str">
        <f>HYPERLINK("http://cgn.websites.wur.nl/website/pictures/Special_collection_CGNSC002/Seeds/TKI 157 (2017-01-18).JPG","Yes")</f>
        <v>Yes</v>
      </c>
      <c r="H146" s="1"/>
      <c r="I146" s="2" t="s">
        <v>600</v>
      </c>
      <c r="J146" s="15">
        <v>137</v>
      </c>
      <c r="K146" s="2"/>
      <c r="L146" s="2" t="s">
        <v>1876</v>
      </c>
      <c r="M146" s="2" t="s">
        <v>1875</v>
      </c>
      <c r="N146" s="37" t="s">
        <v>2042</v>
      </c>
    </row>
    <row r="147" spans="1:14" x14ac:dyDescent="0.25">
      <c r="A147" s="6" t="s">
        <v>286</v>
      </c>
      <c r="B147" s="2" t="s">
        <v>591</v>
      </c>
      <c r="C147" s="2">
        <v>2016</v>
      </c>
      <c r="D147" s="32" t="str">
        <f>HYPERLINK("http://cgn.websites.wur.nl/website/pictures/Special_collection_CGNSC002/Juveniles/TKI 158 (2016-05-02).JPG","Yes")</f>
        <v>Yes</v>
      </c>
      <c r="E147" s="34" t="str">
        <f>HYPERLINK("http://cgn.websites.wur.nl/website/pictures/Special_collection_CGNSC002/Adults/TKI 158 (2016-05-30).JPG","Yes")</f>
        <v>Yes</v>
      </c>
      <c r="F147" s="33" t="str">
        <f>HYPERLINK("http://cgn.websites.wur.nl/website/pictures/Special_collection_CGNSC002/Flowers/TKI 158 (2016-08-01).JPG","Yes")</f>
        <v>Yes</v>
      </c>
      <c r="G147" s="33" t="str">
        <f>HYPERLINK("http://cgn.websites.wur.nl/website/pictures/Special_collection_CGNSC002/Seeds/TKI 158 (2017-01-18).JPG","Yes")</f>
        <v>Yes</v>
      </c>
      <c r="H147" s="1"/>
      <c r="I147" s="2" t="s">
        <v>600</v>
      </c>
      <c r="J147" s="15">
        <v>147</v>
      </c>
      <c r="K147" s="2"/>
      <c r="L147" s="2" t="s">
        <v>1877</v>
      </c>
      <c r="M147" s="2"/>
      <c r="N147" s="37" t="s">
        <v>2043</v>
      </c>
    </row>
    <row r="148" spans="1:14" x14ac:dyDescent="0.25">
      <c r="A148" s="6" t="s">
        <v>287</v>
      </c>
      <c r="B148" s="2" t="s">
        <v>591</v>
      </c>
      <c r="C148" s="2">
        <v>2016</v>
      </c>
      <c r="D148" s="32" t="str">
        <f>HYPERLINK("http://cgn.websites.wur.nl/website/pictures/Special_collection_CGNSC002/Juveniles/TKI 159 (2016-05-02).JPG","Yes")</f>
        <v>Yes</v>
      </c>
      <c r="E148" s="34" t="str">
        <f>HYPERLINK("http://cgn.websites.wur.nl/website/pictures/Special_collection_CGNSC002/Adults/TKI 159 (2016-05-30).JPG","Yes")</f>
        <v>Yes</v>
      </c>
      <c r="F148" s="33" t="str">
        <f>HYPERLINK("http://cgn.websites.wur.nl/website/pictures/Special_collection_CGNSC002/Flowers/TKI 159 (2016-06-27).JPG","Yes")</f>
        <v>Yes</v>
      </c>
      <c r="G148" s="33" t="str">
        <f>HYPERLINK("http://cgn.websites.wur.nl/website/pictures/Special_collection_CGNSC002/Seeds/TKI 159 (2017-01-18).JPG","Yes")</f>
        <v>Yes</v>
      </c>
      <c r="H148" s="1"/>
      <c r="I148" s="2" t="s">
        <v>600</v>
      </c>
      <c r="J148" s="15">
        <v>137</v>
      </c>
      <c r="K148" s="2"/>
      <c r="L148" s="2" t="s">
        <v>1877</v>
      </c>
      <c r="M148" s="2"/>
      <c r="N148" s="37" t="s">
        <v>2044</v>
      </c>
    </row>
    <row r="149" spans="1:14" x14ac:dyDescent="0.25">
      <c r="A149" s="6" t="s">
        <v>288</v>
      </c>
      <c r="B149" s="2" t="s">
        <v>591</v>
      </c>
      <c r="C149" s="2">
        <v>2016</v>
      </c>
      <c r="D149" s="32" t="str">
        <f>HYPERLINK("http://cgn.websites.wur.nl/website/pictures/Special_collection_CGNSC002/Juveniles/TKI 160 (2016-05-02).JPG","Yes")</f>
        <v>Yes</v>
      </c>
      <c r="E149" s="34" t="str">
        <f>HYPERLINK("http://cgn.websites.wur.nl/website/pictures/Special_collection_CGNSC002/Adults/TKI 160 (2016-05-30).JPG","Yes")</f>
        <v>Yes</v>
      </c>
      <c r="F149" s="33" t="str">
        <f>HYPERLINK("http://cgn.websites.wur.nl/website/pictures/Special_collection_CGNSC002/Flowers/TKI 160 (2016-08-15).JPG","Yes")</f>
        <v>Yes</v>
      </c>
      <c r="G149" s="33" t="str">
        <f>HYPERLINK("http://cgn.websites.wur.nl/website/pictures/Special_collection_CGNSC002/Seeds/TKI 160 (2017-01-18).JPG","Yes")</f>
        <v>Yes</v>
      </c>
      <c r="H149" s="1"/>
      <c r="I149" s="2" t="s">
        <v>599</v>
      </c>
      <c r="J149" s="15">
        <v>166</v>
      </c>
      <c r="K149" s="2"/>
      <c r="L149" s="2" t="s">
        <v>1876</v>
      </c>
      <c r="M149" s="2" t="s">
        <v>1875</v>
      </c>
      <c r="N149" s="37" t="s">
        <v>2045</v>
      </c>
    </row>
    <row r="150" spans="1:14" x14ac:dyDescent="0.25">
      <c r="A150" s="6" t="s">
        <v>289</v>
      </c>
      <c r="B150" s="2" t="s">
        <v>591</v>
      </c>
      <c r="C150" s="2">
        <v>2016</v>
      </c>
      <c r="D150" s="32" t="str">
        <f>HYPERLINK("http://cgn.websites.wur.nl/website/pictures/Special_collection_CGNSC002/Juveniles/TKI 161 (2016-05-02).JPG","Yes")</f>
        <v>Yes</v>
      </c>
      <c r="E150" s="34" t="str">
        <f>HYPERLINK("http://cgn.websites.wur.nl/website/pictures/Special_collection_CGNSC002/Adults/TKI 161 (2016-05-30).JPG","Yes")</f>
        <v>Yes</v>
      </c>
      <c r="F150" s="33" t="str">
        <f>HYPERLINK("http://cgn.websites.wur.nl/website/pictures/Special_collection_CGNSC002/Flowers/TKI 161 (2016-06-27).JPG","Yes")</f>
        <v>Yes</v>
      </c>
      <c r="G150" s="33" t="str">
        <f>HYPERLINK("http://cgn.websites.wur.nl/website/pictures/Special_collection_CGNSC002/Seeds/TKI 161 (2017-01-18).JPG","Yes")</f>
        <v>Yes</v>
      </c>
      <c r="H150" s="1"/>
      <c r="I150" s="2" t="s">
        <v>599</v>
      </c>
      <c r="J150" s="15">
        <v>137</v>
      </c>
      <c r="K150" s="2"/>
      <c r="L150" s="2" t="s">
        <v>1877</v>
      </c>
      <c r="M150" s="2"/>
      <c r="N150" s="37" t="s">
        <v>2046</v>
      </c>
    </row>
    <row r="151" spans="1:14" x14ac:dyDescent="0.25">
      <c r="A151" s="6" t="s">
        <v>290</v>
      </c>
      <c r="B151" s="2" t="s">
        <v>591</v>
      </c>
      <c r="C151" s="2">
        <v>2016</v>
      </c>
      <c r="D151" s="32" t="str">
        <f>HYPERLINK("http://cgn.websites.wur.nl/website/pictures/Special_collection_CGNSC002/Juveniles/TKI 162 (2016-05-02).JPG","Yes")</f>
        <v>Yes</v>
      </c>
      <c r="E151" s="34" t="str">
        <f>HYPERLINK("http://cgn.websites.wur.nl/website/pictures/Special_collection_CGNSC002/Adults/TKI 162 (2016-05-30).JPG","Yes")</f>
        <v>Yes</v>
      </c>
      <c r="F151" s="33" t="str">
        <f>HYPERLINK("http://cgn.websites.wur.nl/website/pictures/Special_collection_CGNSC002/Flowers/TKI 162 (2016-09-08).JPG","Yes")</f>
        <v>Yes</v>
      </c>
      <c r="G151" s="33" t="str">
        <f>HYPERLINK("http://cgn.websites.wur.nl/website/pictures/Special_collection_CGNSC002/Seeds/TKI 162 (2017-01-18).JPG","Yes")</f>
        <v>Yes</v>
      </c>
      <c r="H151" s="1"/>
      <c r="I151" s="2" t="s">
        <v>600</v>
      </c>
      <c r="J151" s="15">
        <v>137</v>
      </c>
      <c r="K151" s="2"/>
      <c r="L151" s="2" t="s">
        <v>1877</v>
      </c>
      <c r="M151" s="2"/>
      <c r="N151" s="37" t="s">
        <v>2047</v>
      </c>
    </row>
    <row r="152" spans="1:14" x14ac:dyDescent="0.25">
      <c r="A152" s="6" t="s">
        <v>291</v>
      </c>
      <c r="B152" s="2" t="s">
        <v>591</v>
      </c>
      <c r="C152" s="2">
        <v>2016</v>
      </c>
      <c r="D152" s="32" t="str">
        <f>HYPERLINK("http://cgn.websites.wur.nl/website/pictures/Special_collection_CGNSC002/Juveniles/TKI 163 (2016-05-02).JPG","Yes")</f>
        <v>Yes</v>
      </c>
      <c r="E152" s="34" t="str">
        <f>HYPERLINK("http://cgn.websites.wur.nl/website/pictures/Special_collection_CGNSC002/Adults/TKI 163 (2016-05-30).JPG","Yes")</f>
        <v>Yes</v>
      </c>
      <c r="F152" s="33"/>
      <c r="G152" s="33" t="str">
        <f>HYPERLINK("http://cgn.websites.wur.nl/website/pictures/Special_collection_CGNSC002/Seeds/TKI 163 (2017-01-18).JPG","Yes")</f>
        <v>Yes</v>
      </c>
      <c r="H152" s="1"/>
      <c r="I152" s="2" t="s">
        <v>600</v>
      </c>
      <c r="J152" s="15">
        <v>137</v>
      </c>
      <c r="K152" s="2"/>
      <c r="L152" s="2" t="s">
        <v>1877</v>
      </c>
      <c r="M152" s="2"/>
      <c r="N152" s="37" t="s">
        <v>2048</v>
      </c>
    </row>
    <row r="153" spans="1:14" x14ac:dyDescent="0.25">
      <c r="A153" s="6" t="s">
        <v>292</v>
      </c>
      <c r="B153" s="2" t="s">
        <v>591</v>
      </c>
      <c r="C153" s="2">
        <v>2016</v>
      </c>
      <c r="D153" s="32" t="str">
        <f>HYPERLINK("http://cgn.websites.wur.nl/website/pictures/Special_collection_CGNSC002/Juveniles/TKI 165 (2016-05-02).JPG","Yes")</f>
        <v>Yes</v>
      </c>
      <c r="E153" s="34" t="str">
        <f>HYPERLINK("http://cgn.websites.wur.nl/website/pictures/Special_collection_CGNSC002/Adults/TKI 165 (2016-05-30).JPG","Yes")</f>
        <v>Yes</v>
      </c>
      <c r="F153" s="33"/>
      <c r="G153" s="33" t="str">
        <f>HYPERLINK("http://cgn.websites.wur.nl/website/pictures/Special_collection_CGNSC002/Seeds/TKI 165 (2017-01-18).JPG","Yes")</f>
        <v>Yes</v>
      </c>
      <c r="H153" s="1"/>
      <c r="I153" s="2" t="s">
        <v>600</v>
      </c>
      <c r="J153" s="15">
        <v>144</v>
      </c>
      <c r="K153" s="2"/>
      <c r="L153" s="2" t="s">
        <v>1877</v>
      </c>
      <c r="M153" s="2"/>
      <c r="N153" s="37" t="s">
        <v>2049</v>
      </c>
    </row>
    <row r="154" spans="1:14" x14ac:dyDescent="0.25">
      <c r="A154" s="6" t="s">
        <v>293</v>
      </c>
      <c r="B154" s="2" t="s">
        <v>591</v>
      </c>
      <c r="C154" s="2">
        <v>2016</v>
      </c>
      <c r="D154" s="32" t="str">
        <f>HYPERLINK("http://cgn.websites.wur.nl/website/pictures/Special_collection_CGNSC002/Juveniles/TKI 166 (2016-05-02).JPG","Yes")</f>
        <v>Yes</v>
      </c>
      <c r="E154" s="34" t="str">
        <f>HYPERLINK("http://cgn.websites.wur.nl/website/pictures/Special_collection_CGNSC002/Adults/TKI 166 (2016-05-30).JPG","Yes")</f>
        <v>Yes</v>
      </c>
      <c r="F154" s="33" t="str">
        <f>HYPERLINK("http://cgn.websites.wur.nl/website/pictures/Special_collection_CGNSC002/Flowers/TKI 166 (2016-08-15).JPG","Yes")</f>
        <v>Yes</v>
      </c>
      <c r="G154" s="33" t="str">
        <f>HYPERLINK("http://cgn.websites.wur.nl/website/pictures/Special_collection_CGNSC002/Seeds/TKI 166 (2017-01-18).JPG","Yes")</f>
        <v>Yes</v>
      </c>
      <c r="H154" s="1"/>
      <c r="I154" s="2" t="s">
        <v>600</v>
      </c>
      <c r="J154" s="15">
        <v>147</v>
      </c>
      <c r="K154" s="2"/>
      <c r="L154" s="2" t="s">
        <v>1877</v>
      </c>
      <c r="M154" s="2"/>
      <c r="N154" s="37" t="s">
        <v>2050</v>
      </c>
    </row>
    <row r="155" spans="1:14" x14ac:dyDescent="0.25">
      <c r="A155" s="6" t="s">
        <v>294</v>
      </c>
      <c r="B155" s="2" t="s">
        <v>591</v>
      </c>
      <c r="C155" s="2">
        <v>2016</v>
      </c>
      <c r="D155" s="32" t="str">
        <f>HYPERLINK("http://cgn.websites.wur.nl/website/pictures/Special_collection_CGNSC002/Juveniles/TKI 167 (2016-05-02).JPG","Yes")</f>
        <v>Yes</v>
      </c>
      <c r="E155" s="34" t="str">
        <f>HYPERLINK("http://cgn.websites.wur.nl/website/pictures/Special_collection_CGNSC002/Adults/TKI 167 (2016-05-30).JPG","Yes")</f>
        <v>Yes</v>
      </c>
      <c r="F155" s="33" t="str">
        <f>HYPERLINK("http://cgn.websites.wur.nl/website/pictures/Special_collection_CGNSC002/Flowers/TKI 167 (2016-06-27).JPG","Yes")</f>
        <v>Yes</v>
      </c>
      <c r="G155" s="33" t="str">
        <f>HYPERLINK("http://cgn.websites.wur.nl/website/pictures/Special_collection_CGNSC002/Seeds/TKI 167 (2017-01-18).JPG","Yes")</f>
        <v>Yes</v>
      </c>
      <c r="H155" s="1"/>
      <c r="I155" s="2" t="s">
        <v>599</v>
      </c>
      <c r="J155" s="15">
        <v>137</v>
      </c>
      <c r="K155" s="2"/>
      <c r="L155" s="2" t="s">
        <v>1877</v>
      </c>
      <c r="M155" s="2"/>
      <c r="N155" s="37" t="s">
        <v>2051</v>
      </c>
    </row>
    <row r="156" spans="1:14" x14ac:dyDescent="0.25">
      <c r="A156" s="6" t="s">
        <v>295</v>
      </c>
      <c r="B156" s="2" t="s">
        <v>591</v>
      </c>
      <c r="C156" s="2">
        <v>2016</v>
      </c>
      <c r="D156" s="32" t="str">
        <f>HYPERLINK("http://cgn.websites.wur.nl/website/pictures/Special_collection_CGNSC002/Juveniles/TKI 168 (2016-05-02).JPG","Yes")</f>
        <v>Yes</v>
      </c>
      <c r="E156" s="34" t="str">
        <f>HYPERLINK("http://cgn.websites.wur.nl/website/pictures/Special_collection_CGNSC002/Adults/TKI 168 (2016-05-30).JPG","Yes")</f>
        <v>Yes</v>
      </c>
      <c r="F156" s="33" t="str">
        <f>HYPERLINK("http://cgn.websites.wur.nl/website/pictures/Special_collection_CGNSC002/Flowers/TKI 168 (2016-08-01).JPG","Yes")</f>
        <v>Yes</v>
      </c>
      <c r="G156" s="33" t="str">
        <f>HYPERLINK("http://cgn.websites.wur.nl/website/pictures/Special_collection_CGNSC002/Seeds/TKI 168 (2017-01-18).JPG","Yes")</f>
        <v>Yes</v>
      </c>
      <c r="H156" s="1"/>
      <c r="I156" s="2" t="s">
        <v>600</v>
      </c>
      <c r="J156" s="15">
        <v>137</v>
      </c>
      <c r="K156" s="2"/>
      <c r="L156" s="2" t="s">
        <v>1877</v>
      </c>
      <c r="M156" s="2"/>
      <c r="N156" s="37" t="s">
        <v>2052</v>
      </c>
    </row>
    <row r="157" spans="1:14" x14ac:dyDescent="0.25">
      <c r="A157" s="6" t="s">
        <v>296</v>
      </c>
      <c r="B157" s="2" t="s">
        <v>591</v>
      </c>
      <c r="C157" s="2">
        <v>2016</v>
      </c>
      <c r="D157" s="32" t="str">
        <f>HYPERLINK("http://cgn.websites.wur.nl/website/pictures/Special_collection_CGNSC002/Juveniles/TKI 169 (2016-05-02).JPG","Yes")</f>
        <v>Yes</v>
      </c>
      <c r="E157" s="34" t="str">
        <f>HYPERLINK("http://cgn.websites.wur.nl/website/pictures/Special_collection_CGNSC002/Adults/TKI 169 (2016-05-30).JPG","Yes")</f>
        <v>Yes</v>
      </c>
      <c r="F157" s="33" t="str">
        <f>HYPERLINK("http://cgn.websites.wur.nl/website/pictures/Special_collection_CGNSC002/Flowers/TKI 169 (2016-06-27).JPG","Yes")</f>
        <v>Yes</v>
      </c>
      <c r="G157" s="33" t="str">
        <f>HYPERLINK("http://cgn.websites.wur.nl/website/pictures/Special_collection_CGNSC002/Seeds/TKI 169 (2017-01-18).JPG","Yes")</f>
        <v>Yes</v>
      </c>
      <c r="H157" s="1"/>
      <c r="I157" s="2" t="s">
        <v>599</v>
      </c>
      <c r="J157" s="15">
        <v>117</v>
      </c>
      <c r="K157" s="2" t="s">
        <v>644</v>
      </c>
      <c r="L157" s="2" t="s">
        <v>1877</v>
      </c>
      <c r="M157" s="2"/>
      <c r="N157" s="37" t="s">
        <v>2053</v>
      </c>
    </row>
    <row r="158" spans="1:14" x14ac:dyDescent="0.25">
      <c r="A158" s="6" t="s">
        <v>297</v>
      </c>
      <c r="B158" s="2" t="s">
        <v>591</v>
      </c>
      <c r="C158" s="2">
        <v>2016</v>
      </c>
      <c r="D158" s="32" t="str">
        <f>HYPERLINK("http://cgn.websites.wur.nl/website/pictures/Special_collection_CGNSC002/Juveniles/TKI 170 (2016-05-02).JPG","Yes")</f>
        <v>Yes</v>
      </c>
      <c r="E158" s="34" t="str">
        <f>HYPERLINK("http://cgn.websites.wur.nl/website/pictures/Special_collection_CGNSC002/Adults/TKI 170 (2016-05-30).JPG","Yes")</f>
        <v>Yes</v>
      </c>
      <c r="F158" s="33" t="str">
        <f>HYPERLINK("http://cgn.websites.wur.nl/website/pictures/Special_collection_CGNSC002/Flowers/TKI 170 (2016-08-01).JPG","Yes")</f>
        <v>Yes</v>
      </c>
      <c r="G158" s="33" t="str">
        <f>HYPERLINK("http://cgn.websites.wur.nl/website/pictures/Special_collection_CGNSC002/Seeds/TKI 170 (2017-01-18).JPG","Yes")</f>
        <v>Yes</v>
      </c>
      <c r="H158" s="1"/>
      <c r="I158" s="2" t="s">
        <v>600</v>
      </c>
      <c r="J158" s="15">
        <v>137</v>
      </c>
      <c r="K158" s="2"/>
      <c r="L158" s="2" t="s">
        <v>1877</v>
      </c>
      <c r="M158" s="2"/>
      <c r="N158" s="37" t="s">
        <v>2054</v>
      </c>
    </row>
    <row r="159" spans="1:14" x14ac:dyDescent="0.25">
      <c r="A159" s="6" t="s">
        <v>298</v>
      </c>
      <c r="B159" s="2" t="s">
        <v>591</v>
      </c>
      <c r="C159" s="2">
        <v>2016</v>
      </c>
      <c r="D159" s="32" t="str">
        <f>HYPERLINK("http://cgn.websites.wur.nl/website/pictures/Special_collection_CGNSC002/Juveniles/TKI 171 (2016-05-02).JPG","Yes")</f>
        <v>Yes</v>
      </c>
      <c r="E159" s="34" t="str">
        <f>HYPERLINK("http://cgn.websites.wur.nl/website/pictures/Special_collection_CGNSC002/Adults/TKI 171 (2016-05-30).JPG","Yes")</f>
        <v>Yes</v>
      </c>
      <c r="F159" s="33" t="str">
        <f>HYPERLINK("http://cgn.websites.wur.nl/website/pictures/Special_collection_CGNSC002/Flowers/TKI 171 (2016-06-27).JPG","Yes")</f>
        <v>Yes</v>
      </c>
      <c r="G159" s="33" t="str">
        <f>HYPERLINK("http://cgn.websites.wur.nl/website/pictures/Special_collection_CGNSC002/Seeds/TKI 171 (2017-01-18).JPG","Yes")</f>
        <v>Yes</v>
      </c>
      <c r="H159" s="1"/>
      <c r="I159" s="2" t="s">
        <v>600</v>
      </c>
      <c r="J159" s="15">
        <v>130</v>
      </c>
      <c r="K159" s="2"/>
      <c r="L159" s="2" t="s">
        <v>1877</v>
      </c>
      <c r="M159" s="2"/>
      <c r="N159" s="37" t="s">
        <v>2055</v>
      </c>
    </row>
    <row r="160" spans="1:14" x14ac:dyDescent="0.25">
      <c r="A160" s="6" t="s">
        <v>299</v>
      </c>
      <c r="B160" s="2" t="s">
        <v>591</v>
      </c>
      <c r="C160" s="2">
        <v>2016</v>
      </c>
      <c r="D160" s="32" t="str">
        <f>HYPERLINK("http://cgn.websites.wur.nl/website/pictures/Special_collection_CGNSC002/Juveniles/TKI 172 (2016-05-02).JPG","Yes")</f>
        <v>Yes</v>
      </c>
      <c r="E160" s="34" t="str">
        <f>HYPERLINK("http://cgn.websites.wur.nl/website/pictures/Special_collection_CGNSC002/Adults/TKI 172 (2016-05-30).JPG","Yes")</f>
        <v>Yes</v>
      </c>
      <c r="F160" s="33"/>
      <c r="G160" s="33" t="str">
        <f>HYPERLINK("http://cgn.websites.wur.nl/website/pictures/Special_collection_CGNSC002/Seeds/TKI 172 (2017-01-18).JPG","Yes")</f>
        <v>Yes</v>
      </c>
      <c r="H160" s="1"/>
      <c r="I160" s="2" t="s">
        <v>600</v>
      </c>
      <c r="J160" s="15">
        <v>124</v>
      </c>
      <c r="K160" s="2"/>
      <c r="L160" s="2" t="s">
        <v>1877</v>
      </c>
      <c r="M160" s="2"/>
      <c r="N160" s="37" t="s">
        <v>2056</v>
      </c>
    </row>
    <row r="161" spans="1:14" x14ac:dyDescent="0.25">
      <c r="A161" s="6" t="s">
        <v>300</v>
      </c>
      <c r="B161" s="2" t="s">
        <v>591</v>
      </c>
      <c r="C161" s="2">
        <v>2016</v>
      </c>
      <c r="D161" s="32" t="str">
        <f>HYPERLINK("http://cgn.websites.wur.nl/website/pictures/Special_collection_CGNSC002/Juveniles/TKI 173 (2016-05-02).JPG","Yes")</f>
        <v>Yes</v>
      </c>
      <c r="E161" s="34" t="str">
        <f>HYPERLINK("http://cgn.websites.wur.nl/website/pictures/Special_collection_CGNSC002/Adults/TKI 173 (2016-05-30).JPG","Yes")</f>
        <v>Yes</v>
      </c>
      <c r="F161" s="33" t="str">
        <f>HYPERLINK("http://cgn.websites.wur.nl/website/pictures/Special_collection_CGNSC002/Flowers/TKI 173 (2016-06-27).JPG","Yes")</f>
        <v>Yes</v>
      </c>
      <c r="G161" s="33" t="str">
        <f>HYPERLINK("http://cgn.websites.wur.nl/website/pictures/Special_collection_CGNSC002/Seeds/TKI 173 (2017-01-18).JPG","Yes")</f>
        <v>Yes</v>
      </c>
      <c r="H161" s="1"/>
      <c r="I161" s="2" t="s">
        <v>600</v>
      </c>
      <c r="J161" s="15">
        <v>137</v>
      </c>
      <c r="K161" s="2"/>
      <c r="L161" s="2" t="s">
        <v>1877</v>
      </c>
      <c r="M161" s="2"/>
      <c r="N161" s="37" t="s">
        <v>2057</v>
      </c>
    </row>
    <row r="162" spans="1:14" x14ac:dyDescent="0.25">
      <c r="A162" s="6" t="s">
        <v>301</v>
      </c>
      <c r="B162" s="2" t="s">
        <v>591</v>
      </c>
      <c r="C162" s="2">
        <v>2016</v>
      </c>
      <c r="D162" s="32" t="str">
        <f>HYPERLINK("http://cgn.websites.wur.nl/website/pictures/Special_collection_CGNSC002/Juveniles/TKI 174 (2016-05-02).JPG","Yes")</f>
        <v>Yes</v>
      </c>
      <c r="E162" s="34" t="str">
        <f>HYPERLINK("http://cgn.websites.wur.nl/website/pictures/Special_collection_CGNSC002/Adults/TKI 174 (2016-05-30).JPG","Yes")</f>
        <v>Yes</v>
      </c>
      <c r="F162" s="33" t="str">
        <f>HYPERLINK("http://cgn.websites.wur.nl/website/pictures/Special_collection_CGNSC002/Flowers/TKI 174 (2016-06-27).JPG","Yes")</f>
        <v>Yes</v>
      </c>
      <c r="G162" s="33" t="str">
        <f>HYPERLINK("http://cgn.websites.wur.nl/website/pictures/Special_collection_CGNSC002/Seeds/TKI 174 (2017-01-18).JPG","Yes")</f>
        <v>Yes</v>
      </c>
      <c r="H162" s="1"/>
      <c r="I162" s="2" t="s">
        <v>599</v>
      </c>
      <c r="J162" s="15">
        <v>137</v>
      </c>
      <c r="K162" s="2"/>
      <c r="L162" s="2" t="s">
        <v>1877</v>
      </c>
      <c r="M162" s="2"/>
      <c r="N162" s="37" t="s">
        <v>2058</v>
      </c>
    </row>
    <row r="163" spans="1:14" x14ac:dyDescent="0.25">
      <c r="A163" s="6" t="s">
        <v>302</v>
      </c>
      <c r="B163" s="2" t="s">
        <v>591</v>
      </c>
      <c r="C163" s="2">
        <v>2016</v>
      </c>
      <c r="D163" s="32" t="str">
        <f>HYPERLINK("http://cgn.websites.wur.nl/website/pictures/Special_collection_CGNSC002/Juveniles/TKI 175 (2016-05-02).JPG","Yes")</f>
        <v>Yes</v>
      </c>
      <c r="E163" s="34" t="str">
        <f>HYPERLINK("http://cgn.websites.wur.nl/website/pictures/Special_collection_CGNSC002/Adults/TKI 175 (2016-05-30).JPG","Yes")</f>
        <v>Yes</v>
      </c>
      <c r="F163" s="33" t="str">
        <f>HYPERLINK("http://cgn.websites.wur.nl/website/pictures/Special_collection_CGNSC002/Flowers/TKI 175 (2016-06-27).JPG","Yes")</f>
        <v>Yes</v>
      </c>
      <c r="G163" s="33" t="str">
        <f>HYPERLINK("http://cgn.websites.wur.nl/website/pictures/Special_collection_CGNSC002/Seeds/TKI 175 (2017-01-18).JPG","Yes")</f>
        <v>Yes</v>
      </c>
      <c r="H163" s="1"/>
      <c r="I163" s="2" t="s">
        <v>600</v>
      </c>
      <c r="J163" s="15">
        <v>137</v>
      </c>
      <c r="K163" s="2"/>
      <c r="L163" s="2" t="s">
        <v>1877</v>
      </c>
      <c r="M163" s="2"/>
      <c r="N163" s="37" t="s">
        <v>2059</v>
      </c>
    </row>
    <row r="164" spans="1:14" x14ac:dyDescent="0.25">
      <c r="A164" s="6" t="s">
        <v>303</v>
      </c>
      <c r="B164" s="2" t="s">
        <v>591</v>
      </c>
      <c r="C164" s="2">
        <v>2016</v>
      </c>
      <c r="D164" s="32" t="str">
        <f>HYPERLINK("http://cgn.websites.wur.nl/website/pictures/Special_collection_CGNSC002/Juveniles/TKI 176 (2016-05-02).JPG","Yes")</f>
        <v>Yes</v>
      </c>
      <c r="E164" s="34" t="str">
        <f>HYPERLINK("http://cgn.websites.wur.nl/website/pictures/Special_collection_CGNSC002/Adults/TKI 176 (2016-05-30).JPG","Yes")</f>
        <v>Yes</v>
      </c>
      <c r="F164" s="33" t="str">
        <f>HYPERLINK("http://cgn.websites.wur.nl/website/pictures/Special_collection_CGNSC002/Flowers/TKI 176 (2016-08-01).JPG","Yes")</f>
        <v>Yes</v>
      </c>
      <c r="G164" s="33" t="str">
        <f>HYPERLINK("http://cgn.websites.wur.nl/website/pictures/Special_collection_CGNSC002/Seeds/TKI 176 (2017-01-18).JPG","Yes")</f>
        <v>Yes</v>
      </c>
      <c r="H164" s="1"/>
      <c r="I164" s="2" t="s">
        <v>599</v>
      </c>
      <c r="J164" s="15">
        <v>144</v>
      </c>
      <c r="K164" s="2"/>
      <c r="L164" s="2" t="s">
        <v>1877</v>
      </c>
      <c r="M164" s="2"/>
      <c r="N164" s="37" t="s">
        <v>2060</v>
      </c>
    </row>
    <row r="165" spans="1:14" x14ac:dyDescent="0.25">
      <c r="A165" s="6" t="s">
        <v>304</v>
      </c>
      <c r="B165" s="2" t="s">
        <v>591</v>
      </c>
      <c r="C165" s="2">
        <v>2016</v>
      </c>
      <c r="D165" s="32" t="str">
        <f>HYPERLINK("http://cgn.websites.wur.nl/website/pictures/Special_collection_CGNSC002/Juveniles/TKI 177 (2016-05-02).JPG","Yes")</f>
        <v>Yes</v>
      </c>
      <c r="E165" s="34" t="str">
        <f>HYPERLINK("http://cgn.websites.wur.nl/website/pictures/Special_collection_CGNSC002/Adults/TKI 177 (2016-05-30).JPG","Yes")</f>
        <v>Yes</v>
      </c>
      <c r="F165" s="33"/>
      <c r="G165" s="33" t="str">
        <f>HYPERLINK("http://cgn.websites.wur.nl/website/pictures/Special_collection_CGNSC002/Seeds/TKI 177 (2017-01-18).JPG","Yes")</f>
        <v>Yes</v>
      </c>
      <c r="H165" s="1"/>
      <c r="I165" s="2" t="s">
        <v>599</v>
      </c>
      <c r="J165" s="15">
        <v>153</v>
      </c>
      <c r="K165" s="2"/>
      <c r="L165" s="2" t="s">
        <v>1877</v>
      </c>
      <c r="M165" s="2"/>
      <c r="N165" s="37" t="s">
        <v>2061</v>
      </c>
    </row>
    <row r="166" spans="1:14" x14ac:dyDescent="0.25">
      <c r="A166" s="6" t="s">
        <v>305</v>
      </c>
      <c r="B166" s="2" t="s">
        <v>591</v>
      </c>
      <c r="C166" s="2">
        <v>2016</v>
      </c>
      <c r="D166" s="32" t="str">
        <f>HYPERLINK("http://cgn.websites.wur.nl/website/pictures/Special_collection_CGNSC002/Juveniles/TKI 178 (2016-05-02).JPG","Yes")</f>
        <v>Yes</v>
      </c>
      <c r="E166" s="34" t="str">
        <f>HYPERLINK("http://cgn.websites.wur.nl/website/pictures/Special_collection_CGNSC002/Adults/TKI 178 (2016-05-30).JPG","Yes")</f>
        <v>Yes</v>
      </c>
      <c r="F166" s="33"/>
      <c r="G166" s="33" t="str">
        <f>HYPERLINK("http://cgn.websites.wur.nl/website/pictures/Special_collection_CGNSC002/Seeds/TKI 178 (2017-01-18).JPG","Yes")</f>
        <v>Yes</v>
      </c>
      <c r="H166" s="1"/>
      <c r="I166" s="2" t="s">
        <v>600</v>
      </c>
      <c r="J166" s="15">
        <v>137</v>
      </c>
      <c r="K166" s="2"/>
      <c r="L166" s="2" t="s">
        <v>1877</v>
      </c>
      <c r="M166" s="2"/>
      <c r="N166" s="37" t="s">
        <v>2062</v>
      </c>
    </row>
    <row r="167" spans="1:14" x14ac:dyDescent="0.25">
      <c r="A167" s="6" t="s">
        <v>306</v>
      </c>
      <c r="B167" s="2" t="s">
        <v>591</v>
      </c>
      <c r="C167" s="2">
        <v>2016</v>
      </c>
      <c r="D167" s="32" t="str">
        <f>HYPERLINK("http://cgn.websites.wur.nl/website/pictures/Special_collection_CGNSC002/Juveniles/TKI 179 (2016-05-02).JPG","Yes")</f>
        <v>Yes</v>
      </c>
      <c r="E167" s="34" t="str">
        <f>HYPERLINK("http://cgn.websites.wur.nl/website/pictures/Special_collection_CGNSC002/Adults/TKI 179 (2016-05-30).JPG","Yes")</f>
        <v>Yes</v>
      </c>
      <c r="F167" s="33" t="str">
        <f>HYPERLINK("http://cgn.websites.wur.nl/website/pictures/Special_collection_CGNSC002/Flowers/TKI 179 (2016-06-27).JPG","Yes")</f>
        <v>Yes</v>
      </c>
      <c r="G167" s="33" t="str">
        <f>HYPERLINK("http://cgn.websites.wur.nl/website/pictures/Special_collection_CGNSC002/Seeds/TKI 179 (2017-01-18).JPG","Yes")</f>
        <v>Yes</v>
      </c>
      <c r="H167" s="1"/>
      <c r="I167" s="2" t="s">
        <v>599</v>
      </c>
      <c r="J167" s="15">
        <v>137</v>
      </c>
      <c r="K167" s="2"/>
      <c r="L167" s="2" t="s">
        <v>1877</v>
      </c>
      <c r="M167" s="2"/>
      <c r="N167" s="37" t="s">
        <v>2063</v>
      </c>
    </row>
    <row r="168" spans="1:14" x14ac:dyDescent="0.25">
      <c r="A168" s="6" t="s">
        <v>307</v>
      </c>
      <c r="B168" s="2" t="s">
        <v>591</v>
      </c>
      <c r="C168" s="2">
        <v>2016</v>
      </c>
      <c r="D168" s="32" t="str">
        <f>HYPERLINK("http://cgn.websites.wur.nl/website/pictures/Special_collection_CGNSC002/Juveniles/TKI 180 (2016-05-03).JPG","Yes")</f>
        <v>Yes</v>
      </c>
      <c r="E168" s="34" t="str">
        <f>HYPERLINK("http://cgn.websites.wur.nl/website/pictures/Special_collection_CGNSC002/Adults/TKI 180 (2016-05-30).JPG","Yes")</f>
        <v>Yes</v>
      </c>
      <c r="F168" s="33" t="str">
        <f>HYPERLINK("http://cgn.websites.wur.nl/website/pictures/Special_collection_CGNSC002/Flowers/TKI 180 (2016-08-15).JPG","Yes")</f>
        <v>Yes</v>
      </c>
      <c r="G168" s="33" t="str">
        <f>HYPERLINK("http://cgn.websites.wur.nl/website/pictures/Special_collection_CGNSC002/Seeds/TKI 180 (2017-01-18).JPG","Yes")</f>
        <v>Yes</v>
      </c>
      <c r="H168" s="1"/>
      <c r="I168" s="2" t="s">
        <v>600</v>
      </c>
      <c r="J168" s="15">
        <v>147</v>
      </c>
      <c r="K168" s="2"/>
      <c r="L168" s="2" t="s">
        <v>1877</v>
      </c>
      <c r="M168" s="2"/>
      <c r="N168" s="37" t="s">
        <v>2064</v>
      </c>
    </row>
    <row r="169" spans="1:14" x14ac:dyDescent="0.25">
      <c r="A169" s="6" t="s">
        <v>308</v>
      </c>
      <c r="B169" s="2" t="s">
        <v>591</v>
      </c>
      <c r="C169" s="2">
        <v>2016</v>
      </c>
      <c r="D169" s="32" t="str">
        <f>HYPERLINK("http://cgn.websites.wur.nl/website/pictures/Special_collection_CGNSC002/Juveniles/TKI 181 (2016-05-03).JPG","Yes")</f>
        <v>Yes</v>
      </c>
      <c r="E169" s="34" t="str">
        <f>HYPERLINK("http://cgn.websites.wur.nl/website/pictures/Special_collection_CGNSC002/Adults/TKI 181 (2016-05-30).JPG","Yes")</f>
        <v>Yes</v>
      </c>
      <c r="F169" s="33"/>
      <c r="G169" s="33" t="str">
        <f>HYPERLINK("http://cgn.websites.wur.nl/website/pictures/Special_collection_CGNSC002/Seeds/TKI 181 (2017-01-18).JPG","Yes")</f>
        <v>Yes</v>
      </c>
      <c r="H169" s="1"/>
      <c r="I169" s="2" t="s">
        <v>600</v>
      </c>
      <c r="J169" s="15">
        <v>144</v>
      </c>
      <c r="K169" s="2"/>
      <c r="L169" s="2" t="s">
        <v>1877</v>
      </c>
      <c r="M169" s="2"/>
      <c r="N169" s="37" t="s">
        <v>2065</v>
      </c>
    </row>
    <row r="170" spans="1:14" x14ac:dyDescent="0.25">
      <c r="A170" s="6" t="s">
        <v>309</v>
      </c>
      <c r="B170" s="2" t="s">
        <v>591</v>
      </c>
      <c r="C170" s="2">
        <v>2016</v>
      </c>
      <c r="D170" s="32" t="str">
        <f>HYPERLINK("http://cgn.websites.wur.nl/website/pictures/Special_collection_CGNSC002/Juveniles/TKI 182 (2016-05-03).JPG","Yes")</f>
        <v>Yes</v>
      </c>
      <c r="E170" s="34" t="str">
        <f>HYPERLINK("http://cgn.websites.wur.nl/website/pictures/Special_collection_CGNSC002/Adults/TKI 182 (2016-05-30).JPG","Yes")</f>
        <v>Yes</v>
      </c>
      <c r="F170" s="33" t="str">
        <f>HYPERLINK("http://cgn.websites.wur.nl/website/pictures/Special_collection_CGNSC002/Flowers/TKI 182 (2016-06-27).JPG","Yes")</f>
        <v>Yes</v>
      </c>
      <c r="G170" s="33" t="str">
        <f>HYPERLINK("http://cgn.websites.wur.nl/website/pictures/Special_collection_CGNSC002/Seeds/TKI 182 (2017-01-18).JPG","Yes")</f>
        <v>Yes</v>
      </c>
      <c r="H170" s="1"/>
      <c r="I170" s="2" t="s">
        <v>600</v>
      </c>
      <c r="J170" s="15">
        <v>130</v>
      </c>
      <c r="K170" s="2"/>
      <c r="L170" s="2" t="s">
        <v>1877</v>
      </c>
      <c r="M170" s="2"/>
      <c r="N170" s="37" t="s">
        <v>2066</v>
      </c>
    </row>
    <row r="171" spans="1:14" x14ac:dyDescent="0.25">
      <c r="A171" s="6" t="s">
        <v>310</v>
      </c>
      <c r="B171" s="2" t="s">
        <v>591</v>
      </c>
      <c r="C171" s="2">
        <v>2016</v>
      </c>
      <c r="D171" s="32" t="str">
        <f>HYPERLINK("http://cgn.websites.wur.nl/website/pictures/Special_collection_CGNSC002/Juveniles/TKI 183 (2016-05-03).JPG","Yes")</f>
        <v>Yes</v>
      </c>
      <c r="E171" s="34" t="str">
        <f>HYPERLINK("http://cgn.websites.wur.nl/website/pictures/Special_collection_CGNSC002/Adults/TKI 183 (2016-05-30).JPG","Yes")</f>
        <v>Yes</v>
      </c>
      <c r="F171" s="33"/>
      <c r="G171" s="33" t="str">
        <f>HYPERLINK("http://cgn.websites.wur.nl/website/pictures/Special_collection_CGNSC002/Seeds/TKI 183 (2017-01-18).JPG","Yes")</f>
        <v>Yes</v>
      </c>
      <c r="H171" s="1"/>
      <c r="I171" s="2" t="s">
        <v>599</v>
      </c>
      <c r="J171" s="15">
        <v>144</v>
      </c>
      <c r="K171" s="2"/>
      <c r="L171" s="2" t="s">
        <v>1877</v>
      </c>
      <c r="M171" s="2"/>
      <c r="N171" s="37" t="s">
        <v>2067</v>
      </c>
    </row>
    <row r="172" spans="1:14" x14ac:dyDescent="0.25">
      <c r="A172" s="6" t="s">
        <v>311</v>
      </c>
      <c r="B172" s="2" t="s">
        <v>591</v>
      </c>
      <c r="C172" s="2">
        <v>2016</v>
      </c>
      <c r="D172" s="32" t="str">
        <f>HYPERLINK("http://cgn.websites.wur.nl/website/pictures/Special_collection_CGNSC002/Juveniles/TKI 184 (2016-05-03).JPG","Yes")</f>
        <v>Yes</v>
      </c>
      <c r="E172" s="34" t="str">
        <f>HYPERLINK("http://cgn.websites.wur.nl/website/pictures/Special_collection_CGNSC002/Adults/TKI 184 (2016-05-30).JPG","Yes")</f>
        <v>Yes</v>
      </c>
      <c r="F172" s="33" t="str">
        <f>HYPERLINK("http://cgn.websites.wur.nl/website/pictures/Special_collection_CGNSC002/Flowers/TKI 184 (2016-06-27).JPG","Yes")</f>
        <v>Yes</v>
      </c>
      <c r="G172" s="33" t="str">
        <f>HYPERLINK("http://cgn.websites.wur.nl/website/pictures/Special_collection_CGNSC002/Seeds/TKI 184 (2017-01-18).JPG","Yes")</f>
        <v>Yes</v>
      </c>
      <c r="H172" s="1"/>
      <c r="I172" s="2" t="s">
        <v>600</v>
      </c>
      <c r="J172" s="15">
        <v>130</v>
      </c>
      <c r="K172" s="2"/>
      <c r="L172" s="2" t="s">
        <v>1876</v>
      </c>
      <c r="M172" s="2" t="s">
        <v>1875</v>
      </c>
      <c r="N172" s="37" t="s">
        <v>2068</v>
      </c>
    </row>
    <row r="173" spans="1:14" x14ac:dyDescent="0.25">
      <c r="A173" s="6" t="s">
        <v>312</v>
      </c>
      <c r="B173" s="2" t="s">
        <v>591</v>
      </c>
      <c r="C173" s="2">
        <v>2016</v>
      </c>
      <c r="D173" s="32" t="str">
        <f>HYPERLINK("http://cgn.websites.wur.nl/website/pictures/Special_collection_CGNSC002/Juveniles/TKI 185 (2016-05-03).JPG","Yes")</f>
        <v>Yes</v>
      </c>
      <c r="E173" s="34" t="str">
        <f>HYPERLINK("http://cgn.websites.wur.nl/website/pictures/Special_collection_CGNSC002/Adults/TKI 185 (2016-05-30).JPG","Yes")</f>
        <v>Yes</v>
      </c>
      <c r="F173" s="33" t="str">
        <f>HYPERLINK("http://cgn.websites.wur.nl/website/pictures/Special_collection_CGNSC002/Flowers/TKI 185 (2016-08-08).JPG","Yes")</f>
        <v>Yes</v>
      </c>
      <c r="G173" s="33" t="str">
        <f>HYPERLINK("http://cgn.websites.wur.nl/website/pictures/Special_collection_CGNSC002/Seeds/TKI 185 (2017-01-18).JPG","Yes")</f>
        <v>Yes</v>
      </c>
      <c r="H173" s="1"/>
      <c r="I173" s="2" t="s">
        <v>599</v>
      </c>
      <c r="J173" s="15">
        <v>153</v>
      </c>
      <c r="K173" s="2"/>
      <c r="L173" s="2" t="s">
        <v>1877</v>
      </c>
      <c r="M173" s="2"/>
      <c r="N173" s="37" t="s">
        <v>2069</v>
      </c>
    </row>
    <row r="174" spans="1:14" x14ac:dyDescent="0.25">
      <c r="A174" s="6" t="s">
        <v>313</v>
      </c>
      <c r="B174" s="2" t="s">
        <v>591</v>
      </c>
      <c r="C174" s="2">
        <v>2016</v>
      </c>
      <c r="D174" s="32" t="str">
        <f>HYPERLINK("http://cgn.websites.wur.nl/website/pictures/Special_collection_CGNSC002/Juveniles/TKI 186 (2016-05-03).JPG","Yes")</f>
        <v>Yes</v>
      </c>
      <c r="E174" s="34" t="str">
        <f>HYPERLINK("http://cgn.websites.wur.nl/website/pictures/Special_collection_CGNSC002/Adults/TKI 186 (2016-05-30).JPG","Yes")</f>
        <v>Yes</v>
      </c>
      <c r="F174" s="33" t="str">
        <f>HYPERLINK("http://cgn.websites.wur.nl/website/pictures/Special_collection_CGNSC002/Flowers/TKI 186 (2016-06-27).JPG","Yes")</f>
        <v>Yes</v>
      </c>
      <c r="G174" s="33" t="str">
        <f>HYPERLINK("http://cgn.websites.wur.nl/website/pictures/Special_collection_CGNSC002/Seeds/TKI 186 (2017-01-18).JPG","Yes")</f>
        <v>Yes</v>
      </c>
      <c r="H174" s="1"/>
      <c r="I174" s="2" t="s">
        <v>600</v>
      </c>
      <c r="J174" s="15">
        <v>144</v>
      </c>
      <c r="K174" s="2"/>
      <c r="L174" s="2" t="s">
        <v>1877</v>
      </c>
      <c r="M174" s="2"/>
      <c r="N174" s="37" t="s">
        <v>2070</v>
      </c>
    </row>
    <row r="175" spans="1:14" x14ac:dyDescent="0.25">
      <c r="A175" s="6" t="s">
        <v>314</v>
      </c>
      <c r="B175" s="2" t="s">
        <v>591</v>
      </c>
      <c r="C175" s="2">
        <v>2016</v>
      </c>
      <c r="D175" s="32" t="str">
        <f>HYPERLINK("http://cgn.websites.wur.nl/website/pictures/Special_collection_CGNSC002/Juveniles/TKI 187 (2016-05-03).JPG","Yes")</f>
        <v>Yes</v>
      </c>
      <c r="E175" s="34" t="str">
        <f>HYPERLINK("http://cgn.websites.wur.nl/website/pictures/Special_collection_CGNSC002/Adults/TKI 187 (2016-05-30).JPG","Yes")</f>
        <v>Yes</v>
      </c>
      <c r="F175" s="33" t="str">
        <f>HYPERLINK("http://cgn.websites.wur.nl/website/pictures/Special_collection_CGNSC002/Flowers/TKI 187 (2016-08-08).JPG","Yes")</f>
        <v>Yes</v>
      </c>
      <c r="G175" s="33" t="str">
        <f>HYPERLINK("http://cgn.websites.wur.nl/website/pictures/Special_collection_CGNSC002/Seeds/TKI 187 (2017-01-18).JPG","Yes")</f>
        <v>Yes</v>
      </c>
      <c r="H175" s="1"/>
      <c r="I175" s="2" t="s">
        <v>600</v>
      </c>
      <c r="J175" s="15">
        <v>144</v>
      </c>
      <c r="K175" s="2"/>
      <c r="L175" s="2" t="s">
        <v>1877</v>
      </c>
      <c r="M175" s="2"/>
      <c r="N175" s="37" t="s">
        <v>2071</v>
      </c>
    </row>
    <row r="176" spans="1:14" x14ac:dyDescent="0.25">
      <c r="A176" s="6" t="s">
        <v>315</v>
      </c>
      <c r="B176" s="2" t="s">
        <v>591</v>
      </c>
      <c r="C176" s="2">
        <v>2016</v>
      </c>
      <c r="D176" s="32" t="str">
        <f>HYPERLINK("http://cgn.websites.wur.nl/website/pictures/Special_collection_CGNSC002/Juveniles/TKI 188 (2016-05-03).JPG","Yes")</f>
        <v>Yes</v>
      </c>
      <c r="E176" s="34" t="str">
        <f>HYPERLINK("http://cgn.websites.wur.nl/website/pictures/Special_collection_CGNSC002/Adults/TKI 188 (2016-05-30).JPG","Yes")</f>
        <v>Yes</v>
      </c>
      <c r="F176" s="33" t="str">
        <f>HYPERLINK("http://cgn.websites.wur.nl/website/pictures/Special_collection_CGNSC002/Flowers/TKI 188 (2016-07-14).JPG","Yes")</f>
        <v>Yes</v>
      </c>
      <c r="G176" s="33" t="str">
        <f>HYPERLINK("http://cgn.websites.wur.nl/website/pictures/Special_collection_CGNSC002/Seeds/TKI 188 (2017-01-18).JPG","Yes")</f>
        <v>Yes</v>
      </c>
      <c r="H176" s="1"/>
      <c r="I176" s="2" t="s">
        <v>600</v>
      </c>
      <c r="J176" s="15">
        <v>147</v>
      </c>
      <c r="K176" s="2"/>
      <c r="L176" s="2" t="s">
        <v>1877</v>
      </c>
      <c r="M176" s="2"/>
      <c r="N176" s="37" t="s">
        <v>2072</v>
      </c>
    </row>
    <row r="177" spans="1:14" x14ac:dyDescent="0.25">
      <c r="A177" s="6" t="s">
        <v>316</v>
      </c>
      <c r="B177" s="2" t="s">
        <v>591</v>
      </c>
      <c r="C177" s="2">
        <v>2016</v>
      </c>
      <c r="D177" s="32" t="str">
        <f>HYPERLINK("http://cgn.websites.wur.nl/website/pictures/Special_collection_CGNSC002/Juveniles/TKI 189 (2016-05-03).JPG","Yes")</f>
        <v>Yes</v>
      </c>
      <c r="E177" s="34" t="str">
        <f>HYPERLINK("http://cgn.websites.wur.nl/website/pictures/Special_collection_CGNSC002/Adults/TKI 189 (2016-05-30).JPG","Yes")</f>
        <v>Yes</v>
      </c>
      <c r="F177" s="33"/>
      <c r="G177" s="33" t="str">
        <f>HYPERLINK("http://cgn.websites.wur.nl/website/pictures/Special_collection_CGNSC002/Seeds/TKI 189 (2017-01-18).JPG","Yes")</f>
        <v>Yes</v>
      </c>
      <c r="H177" s="1"/>
      <c r="I177" s="2" t="s">
        <v>600</v>
      </c>
      <c r="J177" s="15">
        <v>137</v>
      </c>
      <c r="K177" s="2"/>
      <c r="L177" s="2" t="s">
        <v>1877</v>
      </c>
      <c r="M177" s="2"/>
      <c r="N177" s="37" t="s">
        <v>2073</v>
      </c>
    </row>
    <row r="178" spans="1:14" x14ac:dyDescent="0.25">
      <c r="A178" s="6" t="s">
        <v>317</v>
      </c>
      <c r="B178" s="2" t="s">
        <v>591</v>
      </c>
      <c r="C178" s="2">
        <v>2016</v>
      </c>
      <c r="D178" s="32" t="str">
        <f>HYPERLINK("http://cgn.websites.wur.nl/website/pictures/Special_collection_CGNSC002/Juveniles/TKI 190 (2016-05-03).JPG","Yes")</f>
        <v>Yes</v>
      </c>
      <c r="E178" s="34" t="str">
        <f>HYPERLINK("http://cgn.websites.wur.nl/website/pictures/Special_collection_CGNSC002/Adults/TKI 190 (2016-05-30).JPG","Yes")</f>
        <v>Yes</v>
      </c>
      <c r="F178" s="33" t="str">
        <f>HYPERLINK("http://cgn.websites.wur.nl/website/pictures/Special_collection_CGNSC002/Flowers/TKI 190 (2016-08-15).JPG","Yes")</f>
        <v>Yes</v>
      </c>
      <c r="G178" s="33" t="str">
        <f>HYPERLINK("http://cgn.websites.wur.nl/website/pictures/Special_collection_CGNSC002/Seeds/TKI 190 (2017-01-18).JPG","Yes")</f>
        <v>Yes</v>
      </c>
      <c r="H178" s="1"/>
      <c r="I178" s="2" t="s">
        <v>600</v>
      </c>
      <c r="J178" s="15">
        <v>166</v>
      </c>
      <c r="K178" s="2"/>
      <c r="L178" s="2" t="s">
        <v>1877</v>
      </c>
      <c r="M178" s="2"/>
      <c r="N178" s="37" t="s">
        <v>2074</v>
      </c>
    </row>
    <row r="179" spans="1:14" x14ac:dyDescent="0.25">
      <c r="A179" s="6" t="s">
        <v>318</v>
      </c>
      <c r="B179" s="2" t="s">
        <v>591</v>
      </c>
      <c r="C179" s="2">
        <v>2016</v>
      </c>
      <c r="D179" s="32" t="str">
        <f>HYPERLINK("http://cgn.websites.wur.nl/website/pictures/Special_collection_CGNSC002/Juveniles/TKI 191 (2016-05-03).JPG","Yes")</f>
        <v>Yes</v>
      </c>
      <c r="E179" s="34" t="str">
        <f>HYPERLINK("http://cgn.websites.wur.nl/website/pictures/Special_collection_CGNSC002/Adults/TKI 191 (2016-05-30).JPG","Yes")</f>
        <v>Yes</v>
      </c>
      <c r="F179" s="33"/>
      <c r="G179" s="33" t="str">
        <f>HYPERLINK("http://cgn.websites.wur.nl/website/pictures/Special_collection_CGNSC002/Seeds/TKI 191 (2017-01-18).JPG","Yes")</f>
        <v>Yes</v>
      </c>
      <c r="H179" s="1"/>
      <c r="I179" s="2" t="s">
        <v>600</v>
      </c>
      <c r="J179" s="15">
        <v>130</v>
      </c>
      <c r="K179" s="2"/>
      <c r="L179" s="2" t="s">
        <v>1877</v>
      </c>
      <c r="M179" s="2"/>
      <c r="N179" s="37" t="s">
        <v>2075</v>
      </c>
    </row>
    <row r="180" spans="1:14" x14ac:dyDescent="0.25">
      <c r="A180" s="6" t="s">
        <v>319</v>
      </c>
      <c r="B180" s="2" t="s">
        <v>591</v>
      </c>
      <c r="C180" s="2">
        <v>2016</v>
      </c>
      <c r="D180" s="32" t="str">
        <f>HYPERLINK("http://cgn.websites.wur.nl/website/pictures/Special_collection_CGNSC002/Juveniles/TKI 192 (2016-05-03).JPG","Yes")</f>
        <v>Yes</v>
      </c>
      <c r="E180" s="34" t="str">
        <f>HYPERLINK("http://cgn.websites.wur.nl/website/pictures/Special_collection_CGNSC002/Adults/TKI 192 (2016-05-30).JPG","Yes")</f>
        <v>Yes</v>
      </c>
      <c r="F180" s="33" t="str">
        <f>HYPERLINK("http://cgn.websites.wur.nl/website/pictures/Special_collection_CGNSC002/Flowers/TKI 192 (2016-06-27).JPG","Yes")</f>
        <v>Yes</v>
      </c>
      <c r="G180" s="33" t="str">
        <f>HYPERLINK("http://cgn.websites.wur.nl/website/pictures/Special_collection_CGNSC002/Seeds/TKI 192 (2017-01-18).JPG","Yes")</f>
        <v>Yes</v>
      </c>
      <c r="H180" s="1"/>
      <c r="I180" s="2" t="s">
        <v>600</v>
      </c>
      <c r="J180" s="15">
        <v>124</v>
      </c>
      <c r="K180" s="2"/>
      <c r="L180" s="2" t="s">
        <v>1877</v>
      </c>
      <c r="M180" s="2"/>
      <c r="N180" s="37" t="s">
        <v>2076</v>
      </c>
    </row>
    <row r="181" spans="1:14" x14ac:dyDescent="0.25">
      <c r="A181" s="6" t="s">
        <v>320</v>
      </c>
      <c r="B181" s="2" t="s">
        <v>591</v>
      </c>
      <c r="C181" s="2">
        <v>2016</v>
      </c>
      <c r="D181" s="32" t="str">
        <f>HYPERLINK("http://cgn.websites.wur.nl/website/pictures/Special_collection_CGNSC002/Juveniles/TKI 193 (2016-05-03).JPG","Yes")</f>
        <v>Yes</v>
      </c>
      <c r="E181" s="34" t="str">
        <f>HYPERLINK("http://cgn.websites.wur.nl/website/pictures/Special_collection_CGNSC002/Adults/TKI 193 (2016-05-30).JPG","Yes")</f>
        <v>Yes</v>
      </c>
      <c r="F181" s="33" t="str">
        <f>HYPERLINK("http://cgn.websites.wur.nl/website/pictures/Special_collection_CGNSC002/Flowers/TKI 193 (2016-09-05).JPG","Yes")</f>
        <v>Yes</v>
      </c>
      <c r="G181" s="33" t="str">
        <f>HYPERLINK("http://cgn.websites.wur.nl/website/pictures/Special_collection_CGNSC002/Seeds/TKI 193 (2017-01-18).JPG","Yes")</f>
        <v>Yes</v>
      </c>
      <c r="H181" s="1"/>
      <c r="I181" s="2" t="s">
        <v>600</v>
      </c>
      <c r="J181" s="15">
        <v>158</v>
      </c>
      <c r="K181" s="2"/>
      <c r="L181" s="2" t="s">
        <v>1877</v>
      </c>
      <c r="M181" s="2"/>
      <c r="N181" s="37" t="s">
        <v>2077</v>
      </c>
    </row>
    <row r="182" spans="1:14" x14ac:dyDescent="0.25">
      <c r="A182" s="6" t="s">
        <v>321</v>
      </c>
      <c r="B182" s="2" t="s">
        <v>591</v>
      </c>
      <c r="C182" s="2">
        <v>2016</v>
      </c>
      <c r="D182" s="32" t="str">
        <f>HYPERLINK("http://cgn.websites.wur.nl/website/pictures/Special_collection_CGNSC002/Juveniles/TKI 194 (2016-05-03).JPG","Yes")</f>
        <v>Yes</v>
      </c>
      <c r="E182" s="34" t="str">
        <f>HYPERLINK("http://cgn.websites.wur.nl/website/pictures/Special_collection_CGNSC002/Adults/TKI 194 (2016-05-30).JPG","Yes")</f>
        <v>Yes</v>
      </c>
      <c r="F182" s="33" t="str">
        <f>HYPERLINK("http://cgn.websites.wur.nl/website/pictures/Special_collection_CGNSC002/Flowers/TKI 194 (2016-08-04).JPG","Yes")</f>
        <v>Yes</v>
      </c>
      <c r="G182" s="33" t="str">
        <f>HYPERLINK("http://cgn.websites.wur.nl/website/pictures/Special_collection_CGNSC002/Seeds/TKI 194 (2017-01-18).JPG","Yes")</f>
        <v>Yes</v>
      </c>
      <c r="H182" s="1"/>
      <c r="I182" s="2" t="s">
        <v>600</v>
      </c>
      <c r="J182" s="15">
        <v>147</v>
      </c>
      <c r="K182" s="2"/>
      <c r="L182" s="2" t="s">
        <v>1876</v>
      </c>
      <c r="M182" s="2" t="s">
        <v>1875</v>
      </c>
      <c r="N182" s="37" t="s">
        <v>2078</v>
      </c>
    </row>
    <row r="183" spans="1:14" x14ac:dyDescent="0.25">
      <c r="A183" s="6" t="s">
        <v>322</v>
      </c>
      <c r="B183" s="2" t="s">
        <v>591</v>
      </c>
      <c r="C183" s="2">
        <v>2016</v>
      </c>
      <c r="D183" s="32" t="str">
        <f>HYPERLINK("http://cgn.websites.wur.nl/website/pictures/Special_collection_CGNSC002/Juveniles/TKI 195 (2016-05-03).JPG","Yes")</f>
        <v>Yes</v>
      </c>
      <c r="E183" s="34" t="str">
        <f>HYPERLINK("http://cgn.websites.wur.nl/website/pictures/Special_collection_CGNSC002/Adults/TKI 195 (2016-05-30).JPG","Yes")</f>
        <v>Yes</v>
      </c>
      <c r="F183" s="33" t="str">
        <f>HYPERLINK("http://cgn.websites.wur.nl/website/pictures/Special_collection_CGNSC002/Flowers/TKI 195 (2016-09-08).JPG","Yes")</f>
        <v>Yes</v>
      </c>
      <c r="G183" s="33" t="str">
        <f>HYPERLINK("http://cgn.websites.wur.nl/website/pictures/Special_collection_CGNSC002/Seeds/TKI 195 (2017-01-18).JPG","Yes")</f>
        <v>Yes</v>
      </c>
      <c r="H183" s="1"/>
      <c r="I183" s="2" t="s">
        <v>600</v>
      </c>
      <c r="J183" s="15">
        <v>158</v>
      </c>
      <c r="K183" s="2"/>
      <c r="L183" s="2" t="s">
        <v>1876</v>
      </c>
      <c r="M183" s="2" t="s">
        <v>1875</v>
      </c>
      <c r="N183" s="37" t="s">
        <v>2079</v>
      </c>
    </row>
    <row r="184" spans="1:14" x14ac:dyDescent="0.25">
      <c r="A184" s="6" t="s">
        <v>323</v>
      </c>
      <c r="B184" s="2" t="s">
        <v>591</v>
      </c>
      <c r="C184" s="2">
        <v>2016</v>
      </c>
      <c r="D184" s="32" t="str">
        <f>HYPERLINK("http://cgn.websites.wur.nl/website/pictures/Special_collection_CGNSC002/Juveniles/TKI 196 (2016-05-03).JPG","Yes")</f>
        <v>Yes</v>
      </c>
      <c r="E184" s="34" t="str">
        <f>HYPERLINK("http://cgn.websites.wur.nl/website/pictures/Special_collection_CGNSC002/Adults/TKI 196 (2016-05-30).JPG","Yes")</f>
        <v>Yes</v>
      </c>
      <c r="F184" s="33"/>
      <c r="G184" s="33" t="str">
        <f>HYPERLINK("http://cgn.websites.wur.nl/website/pictures/Special_collection_CGNSC002/Seeds/TKI 196 (2017-01-18).JPG","Yes")</f>
        <v>Yes</v>
      </c>
      <c r="H184" s="1"/>
      <c r="I184" s="2" t="s">
        <v>600</v>
      </c>
      <c r="J184" s="15">
        <v>147</v>
      </c>
      <c r="K184" s="2"/>
      <c r="L184" s="2" t="s">
        <v>1877</v>
      </c>
      <c r="M184" s="2"/>
      <c r="N184" s="37" t="s">
        <v>2080</v>
      </c>
    </row>
    <row r="185" spans="1:14" x14ac:dyDescent="0.25">
      <c r="A185" s="6" t="s">
        <v>324</v>
      </c>
      <c r="B185" s="2" t="s">
        <v>591</v>
      </c>
      <c r="C185" s="2">
        <v>2016</v>
      </c>
      <c r="D185" s="32" t="str">
        <f>HYPERLINK("http://cgn.websites.wur.nl/website/pictures/Special_collection_CGNSC002/Juveniles/TKI 198 (2016-05-03).JPG","Yes")</f>
        <v>Yes</v>
      </c>
      <c r="E185" s="34" t="str">
        <f>HYPERLINK("http://cgn.websites.wur.nl/website/pictures/Special_collection_CGNSC002/Adults/TKI 198 (2016-05-30).JPG","Yes")</f>
        <v>Yes</v>
      </c>
      <c r="F185" s="33" t="str">
        <f>HYPERLINK("http://cgn.websites.wur.nl/website/pictures/Special_collection_CGNSC002/Flowers/TKI 198 (2016-08-15).JPG","Yes")</f>
        <v>Yes</v>
      </c>
      <c r="G185" s="33" t="str">
        <f>HYPERLINK("http://cgn.websites.wur.nl/website/pictures/Special_collection_CGNSC002/Seeds/TKI 198 (2017-01-18).JPG","Yes")</f>
        <v>Yes</v>
      </c>
      <c r="H185" s="1"/>
      <c r="I185" s="2" t="s">
        <v>599</v>
      </c>
      <c r="J185" s="15">
        <v>147</v>
      </c>
      <c r="K185" s="2"/>
      <c r="L185" s="2" t="s">
        <v>1877</v>
      </c>
      <c r="M185" s="2"/>
      <c r="N185" s="37" t="s">
        <v>2081</v>
      </c>
    </row>
    <row r="186" spans="1:14" x14ac:dyDescent="0.25">
      <c r="A186" s="6" t="s">
        <v>325</v>
      </c>
      <c r="B186" s="2" t="s">
        <v>591</v>
      </c>
      <c r="C186" s="2">
        <v>2016</v>
      </c>
      <c r="D186" s="32" t="str">
        <f>HYPERLINK("http://cgn.websites.wur.nl/website/pictures/Special_collection_CGNSC002/Juveniles/TKI 199 (2016-05-03).JPG","Yes")</f>
        <v>Yes</v>
      </c>
      <c r="E186" s="34" t="str">
        <f>HYPERLINK("http://cgn.websites.wur.nl/website/pictures/Special_collection_CGNSC002/Adults/TKI 199 (2016-05-30).JPG","Yes")</f>
        <v>Yes</v>
      </c>
      <c r="F186" s="33"/>
      <c r="G186" s="33" t="str">
        <f>HYPERLINK("http://cgn.websites.wur.nl/website/pictures/Special_collection_CGNSC002/Seeds/TKI 199 (2017-01-18).JPG","Yes")</f>
        <v>Yes</v>
      </c>
      <c r="H186" s="1"/>
      <c r="I186" s="2" t="s">
        <v>599</v>
      </c>
      <c r="J186" s="15">
        <v>147</v>
      </c>
      <c r="K186" s="2"/>
      <c r="L186" s="2" t="s">
        <v>1877</v>
      </c>
      <c r="M186" s="2"/>
      <c r="N186" s="37" t="s">
        <v>2082</v>
      </c>
    </row>
    <row r="187" spans="1:14" x14ac:dyDescent="0.25">
      <c r="A187" s="6" t="s">
        <v>326</v>
      </c>
      <c r="B187" s="2" t="s">
        <v>591</v>
      </c>
      <c r="C187" s="2">
        <v>2016</v>
      </c>
      <c r="D187" s="32" t="str">
        <f>HYPERLINK("http://cgn.websites.wur.nl/website/pictures/Special_collection_CGNSC002/Juveniles/TKI 200 (2016-05-03).JPG","Yes")</f>
        <v>Yes</v>
      </c>
      <c r="E187" s="34" t="str">
        <f>HYPERLINK("http://cgn.websites.wur.nl/website/pictures/Special_collection_CGNSC002/Adults/TKI 200 (2016-05-30).JPG","Yes")</f>
        <v>Yes</v>
      </c>
      <c r="F187" s="33" t="str">
        <f>HYPERLINK("http://cgn.websites.wur.nl/website/pictures/Special_collection_CGNSC002/Flowers/TKI 200 (2016-06-27).JPG","Yes")</f>
        <v>Yes</v>
      </c>
      <c r="G187" s="33" t="str">
        <f>HYPERLINK("http://cgn.websites.wur.nl/website/pictures/Special_collection_CGNSC002/Seeds/TKI 200 (2017-01-18).JPG","Yes")</f>
        <v>Yes</v>
      </c>
      <c r="H187" s="1"/>
      <c r="I187" s="2" t="s">
        <v>600</v>
      </c>
      <c r="J187" s="15">
        <v>137</v>
      </c>
      <c r="K187" s="2"/>
      <c r="L187" s="2" t="s">
        <v>1877</v>
      </c>
      <c r="M187" s="2"/>
      <c r="N187" s="37" t="s">
        <v>2083</v>
      </c>
    </row>
    <row r="188" spans="1:14" x14ac:dyDescent="0.25">
      <c r="A188" s="6" t="s">
        <v>327</v>
      </c>
      <c r="B188" s="2" t="s">
        <v>591</v>
      </c>
      <c r="C188" s="2">
        <v>2016</v>
      </c>
      <c r="D188" s="32" t="str">
        <f>HYPERLINK("http://cgn.websites.wur.nl/website/pictures/Special_collection_CGNSC002/Juveniles/TKI 201 (2016-05-03).JPG","Yes")</f>
        <v>Yes</v>
      </c>
      <c r="E188" s="34" t="str">
        <f>HYPERLINK("http://cgn.websites.wur.nl/website/pictures/Special_collection_CGNSC002/Adults/TKI 201 (2016-05-30).JPG","Yes")</f>
        <v>Yes</v>
      </c>
      <c r="F188" s="33" t="str">
        <f>HYPERLINK("http://cgn.websites.wur.nl/website/pictures/Special_collection_CGNSC002/Flowers/TKI 201 (2016-06-27).JPG","Yes")</f>
        <v>Yes</v>
      </c>
      <c r="G188" s="33" t="str">
        <f>HYPERLINK("http://cgn.websites.wur.nl/website/pictures/Special_collection_CGNSC002/Seeds/TKI 201 (2017-01-18).JPG","Yes")</f>
        <v>Yes</v>
      </c>
      <c r="H188" s="1"/>
      <c r="I188" s="2" t="s">
        <v>600</v>
      </c>
      <c r="J188" s="15">
        <v>124</v>
      </c>
      <c r="K188" s="2"/>
      <c r="L188" s="2" t="s">
        <v>1877</v>
      </c>
      <c r="M188" s="2"/>
      <c r="N188" s="37" t="s">
        <v>2084</v>
      </c>
    </row>
    <row r="189" spans="1:14" x14ac:dyDescent="0.25">
      <c r="A189" s="6" t="s">
        <v>328</v>
      </c>
      <c r="B189" s="2" t="s">
        <v>591</v>
      </c>
      <c r="C189" s="2">
        <v>2016</v>
      </c>
      <c r="D189" s="32" t="str">
        <f>HYPERLINK("http://cgn.websites.wur.nl/website/pictures/Special_collection_CGNSC002/Juveniles/TKI 202 (2016-05-03).JPG","Yes")</f>
        <v>Yes</v>
      </c>
      <c r="E189" s="34" t="str">
        <f>HYPERLINK("http://cgn.websites.wur.nl/website/pictures/Special_collection_CGNSC002/Adults/TKI 202 (2016-05-30).JPG","Yes")</f>
        <v>Yes</v>
      </c>
      <c r="F189" s="33" t="str">
        <f>HYPERLINK("http://cgn.websites.wur.nl/website/pictures/Special_collection_CGNSC002/Flowers/TKI 202 (2016-06-27).JPG","Yes")</f>
        <v>Yes</v>
      </c>
      <c r="G189" s="33" t="str">
        <f>HYPERLINK("http://cgn.websites.wur.nl/website/pictures/Special_collection_CGNSC002/Seeds/TKI 202 (2017-01-18).JPG","Yes")</f>
        <v>Yes</v>
      </c>
      <c r="H189" s="1"/>
      <c r="I189" s="2" t="s">
        <v>600</v>
      </c>
      <c r="J189" s="15">
        <v>137</v>
      </c>
      <c r="K189" s="2"/>
      <c r="L189" s="2" t="s">
        <v>1876</v>
      </c>
      <c r="M189" s="2" t="s">
        <v>1875</v>
      </c>
      <c r="N189" s="37" t="s">
        <v>2085</v>
      </c>
    </row>
    <row r="190" spans="1:14" x14ac:dyDescent="0.25">
      <c r="A190" s="6" t="s">
        <v>329</v>
      </c>
      <c r="B190" s="2" t="s">
        <v>591</v>
      </c>
      <c r="C190" s="2">
        <v>2016</v>
      </c>
      <c r="D190" s="32" t="str">
        <f>HYPERLINK("http://cgn.websites.wur.nl/website/pictures/Special_collection_CGNSC002/Juveniles/TKI 203 (2016-05-03).JPG","Yes")</f>
        <v>Yes</v>
      </c>
      <c r="E190" s="34" t="str">
        <f>HYPERLINK("http://cgn.websites.wur.nl/website/pictures/Special_collection_CGNSC002/Adults/TKI 203 (2016-05-30).JPG","Yes")</f>
        <v>Yes</v>
      </c>
      <c r="F190" s="33"/>
      <c r="G190" s="33" t="str">
        <f>HYPERLINK("http://cgn.websites.wur.nl/website/pictures/Special_collection_CGNSC002/Seeds/TKI 203 (2017-01-18).JPG","Yes")</f>
        <v>Yes</v>
      </c>
      <c r="H190" s="1"/>
      <c r="I190" s="2" t="s">
        <v>600</v>
      </c>
      <c r="J190" s="15">
        <v>137</v>
      </c>
      <c r="K190" s="2"/>
      <c r="L190" s="2" t="s">
        <v>1877</v>
      </c>
      <c r="M190" s="2"/>
      <c r="N190" s="37" t="s">
        <v>2086</v>
      </c>
    </row>
    <row r="191" spans="1:14" x14ac:dyDescent="0.25">
      <c r="A191" s="6" t="s">
        <v>330</v>
      </c>
      <c r="B191" s="2" t="s">
        <v>591</v>
      </c>
      <c r="C191" s="2">
        <v>2016</v>
      </c>
      <c r="D191" s="32" t="str">
        <f>HYPERLINK("http://cgn.websites.wur.nl/website/pictures/Special_collection_CGNSC002/Juveniles/TKI 204 (2016-05-03).JPG","Yes")</f>
        <v>Yes</v>
      </c>
      <c r="E191" s="34" t="str">
        <f>HYPERLINK("http://cgn.websites.wur.nl/website/pictures/Special_collection_CGNSC002/Adults/TKI 204 (2016-05-30).JPG","Yes")</f>
        <v>Yes</v>
      </c>
      <c r="F191" s="33" t="str">
        <f>HYPERLINK("http://cgn.websites.wur.nl/website/pictures/Special_collection_CGNSC002/Flowers/TKI 204 (2016-07-28).JPG","Yes")</f>
        <v>Yes</v>
      </c>
      <c r="G191" s="33" t="str">
        <f>HYPERLINK("http://cgn.websites.wur.nl/website/pictures/Special_collection_CGNSC002/Seeds/TKI 204 (2017-01-18).JPG","Yes")</f>
        <v>Yes</v>
      </c>
      <c r="H191" s="1"/>
      <c r="I191" s="2" t="s">
        <v>600</v>
      </c>
      <c r="J191" s="15">
        <v>137</v>
      </c>
      <c r="K191" s="2"/>
      <c r="L191" s="2" t="s">
        <v>1876</v>
      </c>
      <c r="M191" s="2" t="s">
        <v>1875</v>
      </c>
      <c r="N191" s="37" t="s">
        <v>2087</v>
      </c>
    </row>
    <row r="192" spans="1:14" x14ac:dyDescent="0.25">
      <c r="A192" s="6" t="s">
        <v>331</v>
      </c>
      <c r="B192" s="2" t="s">
        <v>591</v>
      </c>
      <c r="C192" s="2">
        <v>2016</v>
      </c>
      <c r="D192" s="32" t="str">
        <f>HYPERLINK("http://cgn.websites.wur.nl/website/pictures/Special_collection_CGNSC002/Juveniles/TKI 205 (2016-05-03).JPG","Yes")</f>
        <v>Yes</v>
      </c>
      <c r="E192" s="34" t="str">
        <f>HYPERLINK("http://cgn.websites.wur.nl/website/pictures/Special_collection_CGNSC002/Adults/TKI 205 (2016-05-30).JPG","Yes")</f>
        <v>Yes</v>
      </c>
      <c r="F192" s="33" t="str">
        <f>HYPERLINK("http://cgn.websites.wur.nl/website/pictures/Special_collection_CGNSC002/Flowers/TKI 205 (2016-06-27).JPG","Yes")</f>
        <v>Yes</v>
      </c>
      <c r="G192" s="33" t="str">
        <f>HYPERLINK("http://cgn.websites.wur.nl/website/pictures/Special_collection_CGNSC002/Seeds/TKI 205 (2017-01-18).JPG","Yes")</f>
        <v>Yes</v>
      </c>
      <c r="H192" s="1"/>
      <c r="I192" s="2" t="s">
        <v>599</v>
      </c>
      <c r="J192" s="15">
        <v>137</v>
      </c>
      <c r="K192" s="2"/>
      <c r="L192" s="2" t="s">
        <v>1877</v>
      </c>
      <c r="M192" s="2"/>
      <c r="N192" s="37" t="s">
        <v>2088</v>
      </c>
    </row>
    <row r="193" spans="1:14" x14ac:dyDescent="0.25">
      <c r="A193" s="6" t="s">
        <v>332</v>
      </c>
      <c r="B193" s="2" t="s">
        <v>591</v>
      </c>
      <c r="C193" s="2">
        <v>2016</v>
      </c>
      <c r="D193" s="32" t="str">
        <f>HYPERLINK("http://cgn.websites.wur.nl/website/pictures/Special_collection_CGNSC002/Juveniles/TKI 206 (2016-05-03).JPG","Yes")</f>
        <v>Yes</v>
      </c>
      <c r="E193" s="34" t="str">
        <f>HYPERLINK("http://cgn.websites.wur.nl/website/pictures/Special_collection_CGNSC002/Adults/TKI 206 (2016-05-30).JPG","Yes")</f>
        <v>Yes</v>
      </c>
      <c r="F193" s="33" t="str">
        <f>HYPERLINK("http://cgn.websites.wur.nl/website/pictures/Special_collection_CGNSC002/Flowers/TKI 206 (2016-08-08).JPG","Yes")</f>
        <v>Yes</v>
      </c>
      <c r="G193" s="33" t="str">
        <f>HYPERLINK("http://cgn.websites.wur.nl/website/pictures/Special_collection_CGNSC002/Seeds/TKI 206 (2017-01-18).JPG","Yes")</f>
        <v>Yes</v>
      </c>
      <c r="H193" s="1"/>
      <c r="I193" s="2" t="s">
        <v>599</v>
      </c>
      <c r="J193" s="15">
        <v>144</v>
      </c>
      <c r="K193" s="1"/>
      <c r="L193" s="2" t="s">
        <v>1877</v>
      </c>
      <c r="M193" s="1"/>
      <c r="N193" s="37" t="s">
        <v>2089</v>
      </c>
    </row>
    <row r="194" spans="1:14" x14ac:dyDescent="0.25">
      <c r="A194" s="6" t="s">
        <v>333</v>
      </c>
      <c r="B194" s="2" t="s">
        <v>591</v>
      </c>
      <c r="C194" s="2">
        <v>2016</v>
      </c>
      <c r="D194" s="32" t="str">
        <f>HYPERLINK("http://cgn.websites.wur.nl/website/pictures/Special_collection_CGNSC002/Juveniles/TKI 207 (2016-05-03).JPG","Yes")</f>
        <v>Yes</v>
      </c>
      <c r="E194" s="34" t="str">
        <f>HYPERLINK("http://cgn.websites.wur.nl/website/pictures/Special_collection_CGNSC002/Adults/TKI 207 (2016-05-30).JPG","Yes")</f>
        <v>Yes</v>
      </c>
      <c r="F194" s="33" t="str">
        <f>HYPERLINK("http://cgn.websites.wur.nl/website/pictures/Special_collection_CGNSC002/Flowers/TKI 207 (2016-09-08).JPG","Yes")</f>
        <v>Yes</v>
      </c>
      <c r="G194" s="33" t="str">
        <f>HYPERLINK("http://cgn.websites.wur.nl/website/pictures/Special_collection_CGNSC002/Seeds/TKI 207 (2017-01-18).JPG","Yes")</f>
        <v>Yes</v>
      </c>
      <c r="H194" s="1"/>
      <c r="I194" s="2" t="s">
        <v>600</v>
      </c>
      <c r="J194" s="15">
        <v>144</v>
      </c>
      <c r="K194" s="1"/>
      <c r="L194" s="2" t="s">
        <v>1877</v>
      </c>
      <c r="M194" s="1"/>
      <c r="N194" s="37" t="s">
        <v>2090</v>
      </c>
    </row>
    <row r="195" spans="1:14" x14ac:dyDescent="0.25">
      <c r="A195" s="6" t="s">
        <v>334</v>
      </c>
      <c r="B195" s="2" t="s">
        <v>591</v>
      </c>
      <c r="C195" s="2">
        <v>2016</v>
      </c>
      <c r="D195" s="32" t="str">
        <f>HYPERLINK("http://cgn.websites.wur.nl/website/pictures/Special_collection_CGNSC002/Juveniles/TKI 208 (2016-05-03).JPG","Yes")</f>
        <v>Yes</v>
      </c>
      <c r="E195" s="34" t="str">
        <f>HYPERLINK("http://cgn.websites.wur.nl/website/pictures/Special_collection_CGNSC002/Adults/TKI 208 (2016-05-30).JPG","Yes")</f>
        <v>Yes</v>
      </c>
      <c r="F195" s="33" t="str">
        <f>HYPERLINK("http://cgn.websites.wur.nl/website/pictures/Special_collection_CGNSC002/Flowers/TKI 208 (2016-06-27).JPG","Yes")</f>
        <v>Yes</v>
      </c>
      <c r="G195" s="33" t="str">
        <f>HYPERLINK("http://cgn.websites.wur.nl/website/pictures/Special_collection_CGNSC002/Seeds/TKI 208 (2017-01-18).JPG","Yes")</f>
        <v>Yes</v>
      </c>
      <c r="H195" s="1"/>
      <c r="I195" s="2" t="s">
        <v>600</v>
      </c>
      <c r="J195" s="15">
        <v>130</v>
      </c>
      <c r="K195" s="1"/>
      <c r="L195" s="2" t="s">
        <v>1877</v>
      </c>
      <c r="M195" s="1"/>
      <c r="N195" s="37" t="s">
        <v>2091</v>
      </c>
    </row>
    <row r="196" spans="1:14" x14ac:dyDescent="0.25">
      <c r="A196" s="6" t="s">
        <v>335</v>
      </c>
      <c r="B196" s="2" t="s">
        <v>591</v>
      </c>
      <c r="C196" s="2">
        <v>2016</v>
      </c>
      <c r="D196" s="32" t="str">
        <f>HYPERLINK("http://cgn.websites.wur.nl/website/pictures/Special_collection_CGNSC002/Juveniles/TKI 209 (2016-05-03).JPG","Yes")</f>
        <v>Yes</v>
      </c>
      <c r="E196" s="34" t="str">
        <f>HYPERLINK("http://cgn.websites.wur.nl/website/pictures/Special_collection_CGNSC002/Adults/TKI 209 (2016-05-30).JPG","Yes")</f>
        <v>Yes</v>
      </c>
      <c r="F196" s="33" t="str">
        <f>HYPERLINK("http://cgn.websites.wur.nl/website/pictures/Special_collection_CGNSC002/Flowers/TKI 209 (2016-06-27).JPG","Yes")</f>
        <v>Yes</v>
      </c>
      <c r="G196" s="33" t="str">
        <f>HYPERLINK("http://cgn.websites.wur.nl/website/pictures/Special_collection_CGNSC002/Seeds/TKI 209 (2017-01-18).JPG","Yes")</f>
        <v>Yes</v>
      </c>
      <c r="H196" s="1"/>
      <c r="I196" s="2" t="s">
        <v>600</v>
      </c>
      <c r="J196" s="15">
        <v>137</v>
      </c>
      <c r="K196" s="1"/>
      <c r="L196" s="2" t="s">
        <v>1877</v>
      </c>
      <c r="M196" s="1"/>
      <c r="N196" s="37" t="s">
        <v>2092</v>
      </c>
    </row>
    <row r="197" spans="1:14" x14ac:dyDescent="0.25">
      <c r="A197" s="6" t="s">
        <v>336</v>
      </c>
      <c r="B197" s="2" t="s">
        <v>591</v>
      </c>
      <c r="C197" s="2">
        <v>2016</v>
      </c>
      <c r="D197" s="32" t="str">
        <f>HYPERLINK("http://cgn.websites.wur.nl/website/pictures/Special_collection_CGNSC002/Juveniles/TKI 210 (2016-05-03).JPG","Yes")</f>
        <v>Yes</v>
      </c>
      <c r="E197" s="34" t="str">
        <f>HYPERLINK("http://cgn.websites.wur.nl/website/pictures/Special_collection_CGNSC002/Adults/TKI 210 (2016-05-30).JPG","Yes")</f>
        <v>Yes</v>
      </c>
      <c r="F197" s="33"/>
      <c r="G197" s="33" t="str">
        <f>HYPERLINK("http://cgn.websites.wur.nl/website/pictures/Special_collection_CGNSC002/Seeds/TKI 210 (2017-01-18).JPG","Yes")</f>
        <v>Yes</v>
      </c>
      <c r="H197" s="1"/>
      <c r="I197" s="2" t="s">
        <v>600</v>
      </c>
      <c r="J197" s="15">
        <v>147</v>
      </c>
      <c r="K197" s="1"/>
      <c r="L197" s="2" t="s">
        <v>1877</v>
      </c>
      <c r="M197" s="1"/>
      <c r="N197" s="37" t="s">
        <v>2093</v>
      </c>
    </row>
    <row r="198" spans="1:14" x14ac:dyDescent="0.25">
      <c r="A198" s="6" t="s">
        <v>337</v>
      </c>
      <c r="B198" s="2" t="s">
        <v>591</v>
      </c>
      <c r="C198" s="2">
        <v>2016</v>
      </c>
      <c r="D198" s="32" t="str">
        <f>HYPERLINK("http://cgn.websites.wur.nl/website/pictures/Special_collection_CGNSC002/Juveniles/TKI 211 (2016-05-03).JPG","Yes")</f>
        <v>Yes</v>
      </c>
      <c r="E198" s="34" t="str">
        <f>HYPERLINK("http://cgn.websites.wur.nl/website/pictures/Special_collection_CGNSC002/Adults/TKI 211 (2016-05-30).JPG","Yes")</f>
        <v>Yes</v>
      </c>
      <c r="F198" s="33" t="str">
        <f>HYPERLINK("http://cgn.websites.wur.nl/website/pictures/Special_collection_CGNSC002/Flowers/TKI 211 (2016-06-27).JPG","Yes")</f>
        <v>Yes</v>
      </c>
      <c r="G198" s="33" t="str">
        <f>HYPERLINK("http://cgn.websites.wur.nl/website/pictures/Special_collection_CGNSC002/Seeds/TKI 211 (2017-01-18).JPG","Yes")</f>
        <v>Yes</v>
      </c>
      <c r="H198" s="1"/>
      <c r="I198" s="2" t="s">
        <v>600</v>
      </c>
      <c r="J198" s="15">
        <v>137</v>
      </c>
      <c r="K198" s="1"/>
      <c r="L198" s="2" t="s">
        <v>1877</v>
      </c>
      <c r="M198" s="1"/>
      <c r="N198" s="37" t="s">
        <v>2094</v>
      </c>
    </row>
    <row r="199" spans="1:14" x14ac:dyDescent="0.25">
      <c r="A199" s="6" t="s">
        <v>338</v>
      </c>
      <c r="B199" s="2" t="s">
        <v>591</v>
      </c>
      <c r="C199" s="2">
        <v>2016</v>
      </c>
      <c r="D199" s="32" t="str">
        <f>HYPERLINK("http://cgn.websites.wur.nl/website/pictures/Special_collection_CGNSC002/Juveniles/TKI 212 (2016-05-03).JPG","Yes")</f>
        <v>Yes</v>
      </c>
      <c r="E199" s="34" t="str">
        <f>HYPERLINK("http://cgn.websites.wur.nl/website/pictures/Special_collection_CGNSC002/Adults/TKI 212 (2016-05-30).JPG","Yes")</f>
        <v>Yes</v>
      </c>
      <c r="F199" s="33" t="str">
        <f>HYPERLINK("http://cgn.websites.wur.nl/website/pictures/Special_collection_CGNSC002/Flowers/TKI 212 (2016-06-27).JPG","Yes")</f>
        <v>Yes</v>
      </c>
      <c r="G199" s="33" t="str">
        <f>HYPERLINK("http://cgn.websites.wur.nl/website/pictures/Special_collection_CGNSC002/Seeds/TKI 212 (2017-01-18).JPG","Yes")</f>
        <v>Yes</v>
      </c>
      <c r="H199" s="1"/>
      <c r="I199" s="2" t="s">
        <v>600</v>
      </c>
      <c r="J199" s="15">
        <v>137</v>
      </c>
      <c r="K199" s="1"/>
      <c r="L199" s="2" t="s">
        <v>1877</v>
      </c>
      <c r="M199" s="1"/>
      <c r="N199" s="37" t="s">
        <v>2095</v>
      </c>
    </row>
    <row r="200" spans="1:14" x14ac:dyDescent="0.25">
      <c r="A200" s="6" t="s">
        <v>339</v>
      </c>
      <c r="B200" s="2" t="s">
        <v>591</v>
      </c>
      <c r="C200" s="2">
        <v>2016</v>
      </c>
      <c r="D200" s="32" t="str">
        <f>HYPERLINK("http://cgn.websites.wur.nl/website/pictures/Special_collection_CGNSC002/Juveniles/TKI 213 (2016-05-03).JPG","Yes")</f>
        <v>Yes</v>
      </c>
      <c r="E200" s="34" t="str">
        <f>HYPERLINK("http://cgn.websites.wur.nl/website/pictures/Special_collection_CGNSC002/Adults/TKI 213 (2016-05-30).JPG","Yes")</f>
        <v>Yes</v>
      </c>
      <c r="F200" s="33" t="str">
        <f>HYPERLINK("http://cgn.websites.wur.nl/website/pictures/Special_collection_CGNSC002/Flowers/TKI 213 (2016-08-15).JPG","Yes")</f>
        <v>Yes</v>
      </c>
      <c r="G200" s="33" t="str">
        <f>HYPERLINK("http://cgn.websites.wur.nl/website/pictures/Special_collection_CGNSC002/Seeds/TKI 213 (2017-01-18).JPG","Yes")</f>
        <v>Yes</v>
      </c>
      <c r="H200" s="1"/>
      <c r="I200" s="2" t="s">
        <v>600</v>
      </c>
      <c r="J200" s="15">
        <v>137</v>
      </c>
      <c r="K200" s="1"/>
      <c r="L200" s="2" t="s">
        <v>1877</v>
      </c>
      <c r="M200" s="1"/>
      <c r="N200" s="37" t="s">
        <v>2096</v>
      </c>
    </row>
    <row r="201" spans="1:14" x14ac:dyDescent="0.25">
      <c r="A201" s="6" t="s">
        <v>340</v>
      </c>
      <c r="B201" s="2" t="s">
        <v>591</v>
      </c>
      <c r="C201" s="2">
        <v>2016</v>
      </c>
      <c r="D201" s="32" t="str">
        <f>HYPERLINK("http://cgn.websites.wur.nl/website/pictures/Special_collection_CGNSC002/Juveniles/TKI 214 (2016-05-03).JPG","Yes")</f>
        <v>Yes</v>
      </c>
      <c r="E201" s="34" t="str">
        <f>HYPERLINK("http://cgn.websites.wur.nl/website/pictures/Special_collection_CGNSC002/Adults/TKI 214 (2016-05-30).JPG","Yes")</f>
        <v>Yes</v>
      </c>
      <c r="F201" s="33" t="str">
        <f>HYPERLINK("http://cgn.websites.wur.nl/website/pictures/Special_collection_CGNSC002/Flowers/TKI 214 (2016-07-14).JPG","Yes")</f>
        <v>Yes</v>
      </c>
      <c r="G201" s="33" t="str">
        <f>HYPERLINK("http://cgn.websites.wur.nl/website/pictures/Special_collection_CGNSC002/Seeds/TKI 214 (2017-01-18).JPG","Yes")</f>
        <v>Yes</v>
      </c>
      <c r="H201" s="1"/>
      <c r="I201" s="2" t="s">
        <v>600</v>
      </c>
      <c r="J201" s="15">
        <v>147</v>
      </c>
      <c r="K201" s="1"/>
      <c r="L201" s="2" t="s">
        <v>1877</v>
      </c>
      <c r="M201" s="1"/>
      <c r="N201" s="37" t="s">
        <v>2097</v>
      </c>
    </row>
    <row r="202" spans="1:14" x14ac:dyDescent="0.25">
      <c r="A202" s="6" t="s">
        <v>341</v>
      </c>
      <c r="B202" s="2" t="s">
        <v>591</v>
      </c>
      <c r="C202" s="2">
        <v>2016</v>
      </c>
      <c r="D202" s="32" t="str">
        <f>HYPERLINK("http://cgn.websites.wur.nl/website/pictures/Special_collection_CGNSC002/Juveniles/TKI 215 (2016-05-03).JPG","Yes")</f>
        <v>Yes</v>
      </c>
      <c r="E202" s="34" t="str">
        <f>HYPERLINK("http://cgn.websites.wur.nl/website/pictures/Special_collection_CGNSC002/Adults/TKI 215 (2016-05-30).JPG","Yes")</f>
        <v>Yes</v>
      </c>
      <c r="F202" s="33" t="str">
        <f>HYPERLINK("http://cgn.websites.wur.nl/website/pictures/Special_collection_CGNSC002/Flowers/TKI 215 (2016-08-01).JPG","Yes")</f>
        <v>Yes</v>
      </c>
      <c r="G202" s="33" t="str">
        <f>HYPERLINK("http://cgn.websites.wur.nl/website/pictures/Special_collection_CGNSC002/Seeds/TKI 215 (2017-01-18).JPG","Yes")</f>
        <v>Yes</v>
      </c>
      <c r="H202" s="1"/>
      <c r="I202" s="2" t="s">
        <v>600</v>
      </c>
      <c r="J202" s="15">
        <v>144</v>
      </c>
      <c r="K202" s="1"/>
      <c r="L202" s="2" t="s">
        <v>1877</v>
      </c>
      <c r="M202" s="1"/>
      <c r="N202" s="37" t="s">
        <v>2098</v>
      </c>
    </row>
    <row r="203" spans="1:14" x14ac:dyDescent="0.25">
      <c r="A203" s="6" t="s">
        <v>342</v>
      </c>
      <c r="B203" s="2" t="s">
        <v>591</v>
      </c>
      <c r="C203" s="2">
        <v>2016</v>
      </c>
      <c r="D203" s="32" t="str">
        <f>HYPERLINK("http://cgn.websites.wur.nl/website/pictures/Special_collection_CGNSC002/Juveniles/TKI 216 (2016-05-03).JPG","Yes")</f>
        <v>Yes</v>
      </c>
      <c r="E203" s="34" t="str">
        <f>HYPERLINK("http://cgn.websites.wur.nl/website/pictures/Special_collection_CGNSC002/Adults/TKI 216 (2016-05-30).JPG","Yes")</f>
        <v>Yes</v>
      </c>
      <c r="F203" s="33"/>
      <c r="G203" s="33" t="str">
        <f>HYPERLINK("http://cgn.websites.wur.nl/website/pictures/Special_collection_CGNSC002/Seeds/TKI 216 (2017-01-18).JPG","Yes")</f>
        <v>Yes</v>
      </c>
      <c r="H203" s="1"/>
      <c r="I203" s="2" t="s">
        <v>600</v>
      </c>
      <c r="J203" s="15">
        <v>144</v>
      </c>
      <c r="K203" s="1"/>
      <c r="L203" s="2" t="s">
        <v>1877</v>
      </c>
      <c r="M203" s="1"/>
      <c r="N203" s="37" t="s">
        <v>2099</v>
      </c>
    </row>
    <row r="204" spans="1:14" x14ac:dyDescent="0.25">
      <c r="A204" s="6" t="s">
        <v>343</v>
      </c>
      <c r="B204" s="2" t="s">
        <v>591</v>
      </c>
      <c r="C204" s="2">
        <v>2016</v>
      </c>
      <c r="D204" s="32" t="str">
        <f>HYPERLINK("http://cgn.websites.wur.nl/website/pictures/Special_collection_CGNSC002/Juveniles/TKI 217 (2016-05-03).JPG","Yes")</f>
        <v>Yes</v>
      </c>
      <c r="E204" s="34" t="str">
        <f>HYPERLINK("http://cgn.websites.wur.nl/website/pictures/Special_collection_CGNSC002/Adults/TKI 217 (2016-05-30).JPG","Yes")</f>
        <v>Yes</v>
      </c>
      <c r="F204" s="33" t="str">
        <f>HYPERLINK("http://cgn.websites.wur.nl/website/pictures/Special_collection_CGNSC002/Flowers/TKI 217 (2016-08-15).JPG","Yes")</f>
        <v>Yes</v>
      </c>
      <c r="G204" s="33" t="str">
        <f>HYPERLINK("http://cgn.websites.wur.nl/website/pictures/Special_collection_CGNSC002/Seeds/TKI 217 (2017-01-18).JPG","Yes")</f>
        <v>Yes</v>
      </c>
      <c r="H204" s="1"/>
      <c r="I204" s="2" t="s">
        <v>600</v>
      </c>
      <c r="J204" s="15">
        <v>144</v>
      </c>
      <c r="K204" s="1"/>
      <c r="L204" s="2" t="s">
        <v>1877</v>
      </c>
      <c r="M204" s="1"/>
      <c r="N204" s="37" t="s">
        <v>2100</v>
      </c>
    </row>
    <row r="205" spans="1:14" x14ac:dyDescent="0.25">
      <c r="A205" s="6" t="s">
        <v>344</v>
      </c>
      <c r="B205" s="2" t="s">
        <v>591</v>
      </c>
      <c r="C205" s="2">
        <v>2016</v>
      </c>
      <c r="D205" s="32" t="str">
        <f>HYPERLINK("http://cgn.websites.wur.nl/website/pictures/Special_collection_CGNSC002/Juveniles/TKI 218 (2016-05-03).JPG","Yes")</f>
        <v>Yes</v>
      </c>
      <c r="E205" s="34" t="str">
        <f>HYPERLINK("http://cgn.websites.wur.nl/website/pictures/Special_collection_CGNSC002/Adults/TKI 218 (2016-05-30).JPG","Yes")</f>
        <v>Yes</v>
      </c>
      <c r="F205" s="33" t="str">
        <f>HYPERLINK("http://cgn.websites.wur.nl/website/pictures/Special_collection_CGNSC002/Flowers/TKI 218 (2016-07-14).JPG","Yes")</f>
        <v>Yes</v>
      </c>
      <c r="G205" s="33" t="str">
        <f>HYPERLINK("http://cgn.websites.wur.nl/website/pictures/Special_collection_CGNSC002/Seeds/TKI 218 (2017-01-18).JPG","Yes")</f>
        <v>Yes</v>
      </c>
      <c r="H205" s="1"/>
      <c r="I205" s="2" t="s">
        <v>600</v>
      </c>
      <c r="J205" s="15">
        <v>144</v>
      </c>
      <c r="K205" s="1"/>
      <c r="L205" s="2" t="s">
        <v>1877</v>
      </c>
      <c r="M205" s="1"/>
      <c r="N205" s="37" t="s">
        <v>2101</v>
      </c>
    </row>
    <row r="206" spans="1:14" x14ac:dyDescent="0.25">
      <c r="A206" s="6" t="s">
        <v>345</v>
      </c>
      <c r="B206" s="2" t="s">
        <v>591</v>
      </c>
      <c r="C206" s="2">
        <v>2016</v>
      </c>
      <c r="D206" s="32" t="str">
        <f>HYPERLINK("http://cgn.websites.wur.nl/website/pictures/Special_collection_CGNSC002/Juveniles/TKI 219 (2016-05-03).JPG","Yes")</f>
        <v>Yes</v>
      </c>
      <c r="E206" s="34" t="str">
        <f>HYPERLINK("http://cgn.websites.wur.nl/website/pictures/Special_collection_CGNSC002/Adults/TKI 219 (2016-05-30).JPG","Yes")</f>
        <v>Yes</v>
      </c>
      <c r="F206" s="33" t="str">
        <f>HYPERLINK("http://cgn.websites.wur.nl/website/pictures/Special_collection_CGNSC002/Flowers/TKI 219 (2016-08-01).JPG","Yes")</f>
        <v>Yes</v>
      </c>
      <c r="G206" s="33" t="str">
        <f>HYPERLINK("http://cgn.websites.wur.nl/website/pictures/Special_collection_CGNSC002/Seeds/TKI 219 (2017-01-18).JPG","Yes")</f>
        <v>Yes</v>
      </c>
      <c r="H206" s="1"/>
      <c r="I206" s="2" t="s">
        <v>600</v>
      </c>
      <c r="J206" s="15">
        <v>144</v>
      </c>
      <c r="K206" s="1"/>
      <c r="L206" s="2" t="s">
        <v>1877</v>
      </c>
      <c r="M206" s="1"/>
      <c r="N206" s="37" t="s">
        <v>2102</v>
      </c>
    </row>
    <row r="207" spans="1:14" x14ac:dyDescent="0.25">
      <c r="A207" s="6" t="s">
        <v>346</v>
      </c>
      <c r="B207" s="2" t="s">
        <v>591</v>
      </c>
      <c r="C207" s="2">
        <v>2016</v>
      </c>
      <c r="D207" s="32" t="str">
        <f>HYPERLINK("http://cgn.websites.wur.nl/website/pictures/Special_collection_CGNSC002/Juveniles/TKI 220 (2016-05-03).JPG","Yes")</f>
        <v>Yes</v>
      </c>
      <c r="E207" s="34" t="str">
        <f>HYPERLINK("http://cgn.websites.wur.nl/website/pictures/Special_collection_CGNSC002/Adults/TKI 220 (2016-05-30).JPG","Yes")</f>
        <v>Yes</v>
      </c>
      <c r="F207" s="33" t="str">
        <f>HYPERLINK("http://cgn.websites.wur.nl/website/pictures/Special_collection_CGNSC002/Flowers/TKI 220 (2016-06-27).JPG","Yes")</f>
        <v>Yes</v>
      </c>
      <c r="G207" s="33" t="str">
        <f>HYPERLINK("http://cgn.websites.wur.nl/website/pictures/Special_collection_CGNSC002/Seeds/TKI 220 (2017-01-18).JPG","Yes")</f>
        <v>Yes</v>
      </c>
      <c r="H207" s="1"/>
      <c r="I207" s="2" t="s">
        <v>600</v>
      </c>
      <c r="J207" s="15">
        <v>144</v>
      </c>
      <c r="K207" s="1"/>
      <c r="L207" s="2" t="s">
        <v>1877</v>
      </c>
      <c r="M207" s="1"/>
      <c r="N207" s="37" t="s">
        <v>2103</v>
      </c>
    </row>
    <row r="208" spans="1:14" x14ac:dyDescent="0.25">
      <c r="A208" s="6" t="s">
        <v>347</v>
      </c>
      <c r="B208" s="2" t="s">
        <v>591</v>
      </c>
      <c r="C208" s="2">
        <v>2016</v>
      </c>
      <c r="D208" s="32" t="str">
        <f>HYPERLINK("http://cgn.websites.wur.nl/website/pictures/Special_collection_CGNSC002/Juveniles/TKI 221 (2016-05-03).JPG","Yes")</f>
        <v>Yes</v>
      </c>
      <c r="E208" s="34" t="str">
        <f>HYPERLINK("http://cgn.websites.wur.nl/website/pictures/Special_collection_CGNSC002/Adults/TKI 221 (2016-05-30).JPG","Yes")</f>
        <v>Yes</v>
      </c>
      <c r="F208" s="33" t="str">
        <f>HYPERLINK("http://cgn.websites.wur.nl/website/pictures/Special_collection_CGNSC002/Flowers/TKI 221 (2016-06-27).JPG","Yes")</f>
        <v>Yes</v>
      </c>
      <c r="G208" s="33" t="str">
        <f>HYPERLINK("http://cgn.websites.wur.nl/website/pictures/Special_collection_CGNSC002/Seeds/TKI 221 (2017-01-18).JPG","Yes")</f>
        <v>Yes</v>
      </c>
      <c r="H208" s="1"/>
      <c r="I208" s="2" t="s">
        <v>600</v>
      </c>
      <c r="J208" s="15">
        <v>137</v>
      </c>
      <c r="K208" s="1"/>
      <c r="L208" s="2" t="s">
        <v>1877</v>
      </c>
      <c r="M208" s="1"/>
      <c r="N208" s="37" t="s">
        <v>2104</v>
      </c>
    </row>
    <row r="209" spans="1:14" x14ac:dyDescent="0.25">
      <c r="A209" s="6" t="s">
        <v>348</v>
      </c>
      <c r="B209" s="2" t="s">
        <v>591</v>
      </c>
      <c r="C209" s="2">
        <v>2016</v>
      </c>
      <c r="D209" s="32" t="str">
        <f>HYPERLINK("http://cgn.websites.wur.nl/website/pictures/Special_collection_CGNSC002/Juveniles/TKI 222 (2016-05-03).JPG","Yes")</f>
        <v>Yes</v>
      </c>
      <c r="E209" s="34" t="str">
        <f>HYPERLINK("http://cgn.websites.wur.nl/website/pictures/Special_collection_CGNSC002/Adults/TKI 222 (2016-05-30).JPG","Yes")</f>
        <v>Yes</v>
      </c>
      <c r="F209" s="33" t="str">
        <f>HYPERLINK("http://cgn.websites.wur.nl/website/pictures/Special_collection_CGNSC002/Flowers/TKI 222 (2016-08-15).JPG","Yes")</f>
        <v>Yes</v>
      </c>
      <c r="G209" s="33" t="str">
        <f>HYPERLINK("http://cgn.websites.wur.nl/website/pictures/Special_collection_CGNSC002/Seeds/TKI 222 (2017-01-18).JPG","Yes")</f>
        <v>Yes</v>
      </c>
      <c r="H209" s="1"/>
      <c r="I209" s="2" t="s">
        <v>600</v>
      </c>
      <c r="J209" s="15">
        <v>137</v>
      </c>
      <c r="K209" s="2"/>
      <c r="L209" s="2" t="s">
        <v>1876</v>
      </c>
      <c r="M209" s="2" t="s">
        <v>1875</v>
      </c>
      <c r="N209" s="37" t="s">
        <v>2105</v>
      </c>
    </row>
    <row r="210" spans="1:14" x14ac:dyDescent="0.25">
      <c r="A210" s="6" t="s">
        <v>349</v>
      </c>
      <c r="B210" s="2" t="s">
        <v>591</v>
      </c>
      <c r="C210" s="2">
        <v>2016</v>
      </c>
      <c r="D210" s="32" t="str">
        <f>HYPERLINK("http://cgn.websites.wur.nl/website/pictures/Special_collection_CGNSC002/Juveniles/TKI 223 (2016-05-03).JPG","Yes")</f>
        <v>Yes</v>
      </c>
      <c r="E210" s="34" t="str">
        <f>HYPERLINK("http://cgn.websites.wur.nl/website/pictures/Special_collection_CGNSC002/Adults/TKI 223 (2016-05-30).JPG","Yes")</f>
        <v>Yes</v>
      </c>
      <c r="F210" s="33" t="str">
        <f>HYPERLINK("http://cgn.websites.wur.nl/website/pictures/Special_collection_CGNSC002/Flowers/TKI 223 (2016-08-08).JPG","Yes")</f>
        <v>Yes</v>
      </c>
      <c r="G210" s="33" t="str">
        <f>HYPERLINK("http://cgn.websites.wur.nl/website/pictures/Special_collection_CGNSC002/Seeds/TKI 223 (2017-01-18).JPG","Yes")</f>
        <v>Yes</v>
      </c>
      <c r="H210" s="1"/>
      <c r="I210" s="2" t="s">
        <v>600</v>
      </c>
      <c r="J210" s="15">
        <v>144</v>
      </c>
      <c r="K210" s="2"/>
      <c r="L210" s="2" t="s">
        <v>1877</v>
      </c>
      <c r="M210" s="2"/>
      <c r="N210" s="37" t="s">
        <v>2106</v>
      </c>
    </row>
    <row r="211" spans="1:14" x14ac:dyDescent="0.25">
      <c r="A211" s="6" t="s">
        <v>350</v>
      </c>
      <c r="B211" s="2" t="s">
        <v>591</v>
      </c>
      <c r="C211" s="2">
        <v>2016</v>
      </c>
      <c r="D211" s="32" t="str">
        <f>HYPERLINK("http://cgn.websites.wur.nl/website/pictures/Special_collection_CGNSC002/Juveniles/TKI 224 (2016-05-03).JPG","Yes")</f>
        <v>Yes</v>
      </c>
      <c r="E211" s="34" t="str">
        <f>HYPERLINK("http://cgn.websites.wur.nl/website/pictures/Special_collection_CGNSC002/Adults/TKI 224 (2016-05-30).JPG","Yes")</f>
        <v>Yes</v>
      </c>
      <c r="F211" s="33" t="str">
        <f>HYPERLINK("http://cgn.websites.wur.nl/website/pictures/Special_collection_CGNSC002/Flowers/TKI 224 (2016-08-15).JPG","Yes")</f>
        <v>Yes</v>
      </c>
      <c r="G211" s="33" t="str">
        <f>HYPERLINK("http://cgn.websites.wur.nl/website/pictures/Special_collection_CGNSC002/Seeds/TKI 224 (2017-01-18).JPG","Yes")</f>
        <v>Yes</v>
      </c>
      <c r="H211" s="1"/>
      <c r="I211" s="2" t="s">
        <v>600</v>
      </c>
      <c r="J211" s="15">
        <v>144</v>
      </c>
      <c r="K211" s="2"/>
      <c r="L211" s="2" t="s">
        <v>1877</v>
      </c>
      <c r="M211" s="2"/>
      <c r="N211" s="37" t="s">
        <v>2107</v>
      </c>
    </row>
    <row r="212" spans="1:14" x14ac:dyDescent="0.25">
      <c r="A212" s="6" t="s">
        <v>351</v>
      </c>
      <c r="B212" s="2" t="s">
        <v>591</v>
      </c>
      <c r="C212" s="2">
        <v>2016</v>
      </c>
      <c r="D212" s="32" t="str">
        <f>HYPERLINK("http://cgn.websites.wur.nl/website/pictures/Special_collection_CGNSC002/Juveniles/TKI 225 (2016-05-03).JPG","Yes")</f>
        <v>Yes</v>
      </c>
      <c r="E212" s="34" t="str">
        <f>HYPERLINK("http://cgn.websites.wur.nl/website/pictures/Special_collection_CGNSC002/Adults/TKI 225 (2016-05-30).JPG","Yes")</f>
        <v>Yes</v>
      </c>
      <c r="F212" s="33" t="str">
        <f>HYPERLINK("http://cgn.websites.wur.nl/website/pictures/Special_collection_CGNSC002/Flowers/TKI 225 (2016-08-15).JPG","Yes")</f>
        <v>Yes</v>
      </c>
      <c r="G212" s="33" t="str">
        <f>HYPERLINK("http://cgn.websites.wur.nl/website/pictures/Special_collection_CGNSC002/Seeds/TKI 225 (2017-01-18).JPG","Yes")</f>
        <v>Yes</v>
      </c>
      <c r="H212" s="1"/>
      <c r="I212" s="2" t="s">
        <v>600</v>
      </c>
      <c r="J212" s="15">
        <v>147</v>
      </c>
      <c r="K212" s="2"/>
      <c r="L212" s="2" t="s">
        <v>1877</v>
      </c>
      <c r="M212" s="2"/>
      <c r="N212" s="37" t="s">
        <v>2108</v>
      </c>
    </row>
    <row r="213" spans="1:14" x14ac:dyDescent="0.25">
      <c r="A213" s="6" t="s">
        <v>352</v>
      </c>
      <c r="B213" s="2" t="s">
        <v>591</v>
      </c>
      <c r="C213" s="2">
        <v>2016</v>
      </c>
      <c r="D213" s="32" t="str">
        <f>HYPERLINK("http://cgn.websites.wur.nl/website/pictures/Special_collection_CGNSC002/Juveniles/TKI 226 (2016-05-03).JPG","Yes")</f>
        <v>Yes</v>
      </c>
      <c r="E213" s="34" t="str">
        <f>HYPERLINK("http://cgn.websites.wur.nl/website/pictures/Special_collection_CGNSC002/Adults/TKI 226 (2016-05-30).JPG","Yes")</f>
        <v>Yes</v>
      </c>
      <c r="F213" s="33"/>
      <c r="G213" s="33" t="str">
        <f>HYPERLINK("http://cgn.websites.wur.nl/website/pictures/Special_collection_CGNSC002/Seeds/TKI 226 (2017-01-18).JPG","Yes")</f>
        <v>Yes</v>
      </c>
      <c r="H213" s="1"/>
      <c r="I213" s="2" t="s">
        <v>600</v>
      </c>
      <c r="J213" s="15">
        <v>158</v>
      </c>
      <c r="K213" s="2"/>
      <c r="L213" s="2" t="s">
        <v>1877</v>
      </c>
      <c r="M213" s="2"/>
      <c r="N213" s="37" t="s">
        <v>2109</v>
      </c>
    </row>
    <row r="214" spans="1:14" x14ac:dyDescent="0.25">
      <c r="A214" s="6" t="s">
        <v>353</v>
      </c>
      <c r="B214" s="2" t="s">
        <v>591</v>
      </c>
      <c r="C214" s="2">
        <v>2016</v>
      </c>
      <c r="D214" s="32" t="str">
        <f>HYPERLINK("http://cgn.websites.wur.nl/website/pictures/Special_collection_CGNSC002/Juveniles/TKI 227 (2016-05-03).JPG","Yes")</f>
        <v>Yes</v>
      </c>
      <c r="E214" s="34" t="str">
        <f>HYPERLINK("http://cgn.websites.wur.nl/website/pictures/Special_collection_CGNSC002/Adults/TKI 227 (2016-05-30).JPG","Yes")</f>
        <v>Yes</v>
      </c>
      <c r="F214" s="33" t="str">
        <f>HYPERLINK("http://cgn.websites.wur.nl/website/pictures/Special_collection_CGNSC002/Flowers/TKI 227 (2016-08-01).JPG","Yes")</f>
        <v>Yes</v>
      </c>
      <c r="G214" s="33" t="str">
        <f>HYPERLINK("http://cgn.websites.wur.nl/website/pictures/Special_collection_CGNSC002/Seeds/TKI 227 (2017-01-18).JPG","Yes")</f>
        <v>Yes</v>
      </c>
      <c r="H214" s="1"/>
      <c r="I214" s="2" t="s">
        <v>600</v>
      </c>
      <c r="J214" s="15">
        <v>144</v>
      </c>
      <c r="K214" s="2"/>
      <c r="L214" s="2" t="s">
        <v>1877</v>
      </c>
      <c r="M214" s="2"/>
      <c r="N214" s="37" t="s">
        <v>2110</v>
      </c>
    </row>
    <row r="215" spans="1:14" x14ac:dyDescent="0.25">
      <c r="A215" s="6" t="s">
        <v>354</v>
      </c>
      <c r="B215" s="2" t="s">
        <v>591</v>
      </c>
      <c r="C215" s="2">
        <v>2016</v>
      </c>
      <c r="D215" s="32" t="str">
        <f>HYPERLINK("http://cgn.websites.wur.nl/website/pictures/Special_collection_CGNSC002/Juveniles/TKI 228 (2016-05-03).JPG","Yes")</f>
        <v>Yes</v>
      </c>
      <c r="E215" s="34" t="str">
        <f>HYPERLINK("http://cgn.websites.wur.nl/website/pictures/Special_collection_CGNSC002/Adults/TKI 228 (2016-05-30).JPG","Yes")</f>
        <v>Yes</v>
      </c>
      <c r="F215" s="33"/>
      <c r="G215" s="33" t="str">
        <f>HYPERLINK("http://cgn.websites.wur.nl/website/pictures/Special_collection_CGNSC002/Seeds/TKI 228 (2017-01-18).JPG","Yes")</f>
        <v>Yes</v>
      </c>
      <c r="H215" s="1"/>
      <c r="I215" s="2" t="s">
        <v>599</v>
      </c>
      <c r="J215" s="15">
        <v>144</v>
      </c>
      <c r="K215" s="2"/>
      <c r="L215" s="2" t="s">
        <v>1877</v>
      </c>
      <c r="M215" s="2"/>
      <c r="N215" s="37" t="s">
        <v>2111</v>
      </c>
    </row>
    <row r="216" spans="1:14" x14ac:dyDescent="0.25">
      <c r="A216" s="6" t="s">
        <v>355</v>
      </c>
      <c r="B216" s="2" t="s">
        <v>591</v>
      </c>
      <c r="C216" s="2">
        <v>2016</v>
      </c>
      <c r="D216" s="32" t="str">
        <f>HYPERLINK("http://cgn.websites.wur.nl/website/pictures/Special_collection_CGNSC002/Juveniles/TKI 229 (2016-05-03).JPG","Yes")</f>
        <v>Yes</v>
      </c>
      <c r="E216" s="34" t="str">
        <f>HYPERLINK("http://cgn.websites.wur.nl/website/pictures/Special_collection_CGNSC002/Adults/TKI 229 (2016-05-30).JPG","Yes")</f>
        <v>Yes</v>
      </c>
      <c r="F216" s="33" t="str">
        <f>HYPERLINK("http://cgn.websites.wur.nl/website/pictures/Special_collection_CGNSC002/Flowers/TKI 229 (2016-08-15).JPG","Yes")</f>
        <v>Yes</v>
      </c>
      <c r="G216" s="33" t="str">
        <f>HYPERLINK("http://cgn.websites.wur.nl/website/pictures/Special_collection_CGNSC002/Seeds/TKI 229 (2017-01-18).JPG","Yes")</f>
        <v>Yes</v>
      </c>
      <c r="H216" s="1"/>
      <c r="I216" s="2" t="s">
        <v>600</v>
      </c>
      <c r="J216" s="15">
        <v>147</v>
      </c>
      <c r="K216" s="2"/>
      <c r="L216" s="2" t="s">
        <v>1877</v>
      </c>
      <c r="M216" s="2"/>
      <c r="N216" s="37" t="s">
        <v>2112</v>
      </c>
    </row>
    <row r="217" spans="1:14" x14ac:dyDescent="0.25">
      <c r="A217" s="6" t="s">
        <v>356</v>
      </c>
      <c r="B217" s="2" t="s">
        <v>591</v>
      </c>
      <c r="C217" s="2">
        <v>2016</v>
      </c>
      <c r="D217" s="32" t="str">
        <f>HYPERLINK("http://cgn.websites.wur.nl/website/pictures/Special_collection_CGNSC002/Juveniles/TKI 230 (2016-05-03).JPG","Yes")</f>
        <v>Yes</v>
      </c>
      <c r="E217" s="34" t="str">
        <f>HYPERLINK("http://cgn.websites.wur.nl/website/pictures/Special_collection_CGNSC002/Adults/TKI 230 (2016-05-30).JPG","Yes")</f>
        <v>Yes</v>
      </c>
      <c r="F217" s="33"/>
      <c r="G217" s="33" t="str">
        <f>HYPERLINK("http://cgn.websites.wur.nl/website/pictures/Special_collection_CGNSC002/Seeds/TKI 230 (2017-01-18).JPG","Yes")</f>
        <v>Yes</v>
      </c>
      <c r="H217" s="1"/>
      <c r="I217" s="2" t="s">
        <v>600</v>
      </c>
      <c r="J217" s="15">
        <v>137</v>
      </c>
      <c r="K217" s="2"/>
      <c r="L217" s="2" t="s">
        <v>1877</v>
      </c>
      <c r="M217" s="2"/>
      <c r="N217" s="37" t="s">
        <v>2113</v>
      </c>
    </row>
    <row r="218" spans="1:14" x14ac:dyDescent="0.25">
      <c r="A218" s="6" t="s">
        <v>357</v>
      </c>
      <c r="B218" s="2" t="s">
        <v>591</v>
      </c>
      <c r="C218" s="2">
        <v>2016</v>
      </c>
      <c r="D218" s="32" t="str">
        <f>HYPERLINK("http://cgn.websites.wur.nl/website/pictures/Special_collection_CGNSC002/Juveniles/TKI 231 (2016-05-03).JPG","Yes")</f>
        <v>Yes</v>
      </c>
      <c r="E218" s="34" t="str">
        <f>HYPERLINK("http://cgn.websites.wur.nl/website/pictures/Special_collection_CGNSC002/Adults/TKI 231 (2016-05-30).JPG","Yes")</f>
        <v>Yes</v>
      </c>
      <c r="F218" s="33" t="str">
        <f>HYPERLINK("http://cgn.websites.wur.nl/website/pictures/Special_collection_CGNSC002/Flowers/TKI 231 (2016-07-14).JPG","Yes")</f>
        <v>Yes</v>
      </c>
      <c r="G218" s="33" t="str">
        <f>HYPERLINK("http://cgn.websites.wur.nl/website/pictures/Special_collection_CGNSC002/Seeds/TKI 231 (2017-01-18).JPG","Yes")</f>
        <v>Yes</v>
      </c>
      <c r="H218" s="1"/>
      <c r="I218" s="2" t="s">
        <v>600</v>
      </c>
      <c r="J218" s="15">
        <v>124</v>
      </c>
      <c r="K218" s="2"/>
      <c r="L218" s="2" t="s">
        <v>1877</v>
      </c>
      <c r="M218" s="2"/>
      <c r="N218" s="37" t="s">
        <v>2114</v>
      </c>
    </row>
    <row r="219" spans="1:14" x14ac:dyDescent="0.25">
      <c r="A219" s="6" t="s">
        <v>358</v>
      </c>
      <c r="B219" s="2" t="s">
        <v>591</v>
      </c>
      <c r="C219" s="2">
        <v>2016</v>
      </c>
      <c r="D219" s="32" t="str">
        <f>HYPERLINK("http://cgn.websites.wur.nl/website/pictures/Special_collection_CGNSC002/Juveniles/TKI 232 (2016-05-03).JPG","Yes")</f>
        <v>Yes</v>
      </c>
      <c r="E219" s="34" t="str">
        <f>HYPERLINK("http://cgn.websites.wur.nl/website/pictures/Special_collection_CGNSC002/Adults/TKI 232 (2016-05-30).JPG","Yes")</f>
        <v>Yes</v>
      </c>
      <c r="F219" s="33" t="str">
        <f>HYPERLINK("http://cgn.websites.wur.nl/website/pictures/Special_collection_CGNSC002/Flowers/TKI 232 (2016-06-27).JPG","Yes")</f>
        <v>Yes</v>
      </c>
      <c r="G219" s="33" t="str">
        <f>HYPERLINK("http://cgn.websites.wur.nl/website/pictures/Special_collection_CGNSC002/Seeds/TKI 232 (2017-01-18).JPG","Yes")</f>
        <v>Yes</v>
      </c>
      <c r="H219" s="1"/>
      <c r="I219" s="2" t="s">
        <v>600</v>
      </c>
      <c r="J219" s="15">
        <v>130</v>
      </c>
      <c r="K219" s="2"/>
      <c r="L219" s="2" t="s">
        <v>1876</v>
      </c>
      <c r="M219" s="2" t="s">
        <v>1875</v>
      </c>
      <c r="N219" s="37" t="s">
        <v>2115</v>
      </c>
    </row>
    <row r="220" spans="1:14" x14ac:dyDescent="0.25">
      <c r="A220" s="6" t="s">
        <v>359</v>
      </c>
      <c r="B220" s="2" t="s">
        <v>591</v>
      </c>
      <c r="C220" s="2">
        <v>2016</v>
      </c>
      <c r="D220" s="32" t="str">
        <f>HYPERLINK("http://cgn.websites.wur.nl/website/pictures/Special_collection_CGNSC002/Juveniles/TKI 233 (2016-05-03).JPG","Yes")</f>
        <v>Yes</v>
      </c>
      <c r="E220" s="34" t="str">
        <f>HYPERLINK("http://cgn.websites.wur.nl/website/pictures/Special_collection_CGNSC002/Adults/TKI 233 (2016-05-30).JPG","Yes")</f>
        <v>Yes</v>
      </c>
      <c r="F220" s="33" t="str">
        <f>HYPERLINK("http://cgn.websites.wur.nl/website/pictures/Special_collection_CGNSC002/Flowers/TKI 233 (2016-07-21).JPG","Yes")</f>
        <v>Yes</v>
      </c>
      <c r="G220" s="33" t="str">
        <f>HYPERLINK("http://cgn.websites.wur.nl/website/pictures/Special_collection_CGNSC002/Seeds/TKI 233 (2017-01-18).JPG","Yes")</f>
        <v>Yes</v>
      </c>
      <c r="H220" s="1"/>
      <c r="I220" s="2" t="s">
        <v>600</v>
      </c>
      <c r="J220" s="15">
        <v>166</v>
      </c>
      <c r="K220" s="2"/>
      <c r="L220" s="2" t="s">
        <v>1877</v>
      </c>
      <c r="M220" s="2"/>
      <c r="N220" s="37" t="s">
        <v>2116</v>
      </c>
    </row>
    <row r="221" spans="1:14" x14ac:dyDescent="0.25">
      <c r="A221" s="6" t="s">
        <v>360</v>
      </c>
      <c r="B221" s="2" t="s">
        <v>591</v>
      </c>
      <c r="C221" s="2">
        <v>2016</v>
      </c>
      <c r="D221" s="32" t="str">
        <f>HYPERLINK("http://cgn.websites.wur.nl/website/pictures/Special_collection_CGNSC002/Juveniles/TKI 234 (2016-05-03).JPG","Yes")</f>
        <v>Yes</v>
      </c>
      <c r="E221" s="34" t="str">
        <f>HYPERLINK("http://cgn.websites.wur.nl/website/pictures/Special_collection_CGNSC002/Adults/TKI 234 (2016-05-30).JPG","Yes")</f>
        <v>Yes</v>
      </c>
      <c r="F221" s="33"/>
      <c r="G221" s="33" t="str">
        <f>HYPERLINK("http://cgn.websites.wur.nl/website/pictures/Special_collection_CGNSC002/Seeds/TKI 234 (2017-01-18).JPG","Yes")</f>
        <v>Yes</v>
      </c>
      <c r="H221" s="1"/>
      <c r="I221" s="2" t="s">
        <v>600</v>
      </c>
      <c r="J221" s="15">
        <v>158</v>
      </c>
      <c r="K221" s="2"/>
      <c r="L221" s="2" t="s">
        <v>1876</v>
      </c>
      <c r="M221" s="2" t="s">
        <v>1875</v>
      </c>
      <c r="N221" s="37" t="s">
        <v>2117</v>
      </c>
    </row>
    <row r="222" spans="1:14" x14ac:dyDescent="0.25">
      <c r="A222" s="6" t="s">
        <v>361</v>
      </c>
      <c r="B222" s="2" t="s">
        <v>591</v>
      </c>
      <c r="C222" s="2">
        <v>2016</v>
      </c>
      <c r="D222" s="32" t="str">
        <f>HYPERLINK("http://cgn.websites.wur.nl/website/pictures/Special_collection_CGNSC002/Juveniles/TKI 235 (2016-05-03).JPG","Yes")</f>
        <v>Yes</v>
      </c>
      <c r="E222" s="34" t="str">
        <f>HYPERLINK("http://cgn.websites.wur.nl/website/pictures/Special_collection_CGNSC002/Adults/TKI 235 (2016-05-30).JPG","Yes")</f>
        <v>Yes</v>
      </c>
      <c r="F222" s="33"/>
      <c r="G222" s="33" t="str">
        <f>HYPERLINK("http://cgn.websites.wur.nl/website/pictures/Special_collection_CGNSC002/Seeds/TKI 235 (2017-01-18).JPG","Yes")</f>
        <v>Yes</v>
      </c>
      <c r="H222" s="1"/>
      <c r="I222" s="2" t="s">
        <v>600</v>
      </c>
      <c r="J222" s="15">
        <v>137</v>
      </c>
      <c r="K222" s="2"/>
      <c r="L222" s="2" t="s">
        <v>1877</v>
      </c>
      <c r="M222" s="2"/>
      <c r="N222" s="37" t="s">
        <v>2118</v>
      </c>
    </row>
    <row r="223" spans="1:14" x14ac:dyDescent="0.25">
      <c r="A223" s="6" t="s">
        <v>362</v>
      </c>
      <c r="B223" s="2" t="s">
        <v>591</v>
      </c>
      <c r="C223" s="2">
        <v>2016</v>
      </c>
      <c r="D223" s="32" t="str">
        <f>HYPERLINK("http://cgn.websites.wur.nl/website/pictures/Special_collection_CGNSC002/Juveniles/TKI 236 (2016-05-03).JPG","Yes")</f>
        <v>Yes</v>
      </c>
      <c r="E223" s="34" t="str">
        <f>HYPERLINK("http://cgn.websites.wur.nl/website/pictures/Special_collection_CGNSC002/Adults/TKI 236 (2016-05-30).JPG","Yes")</f>
        <v>Yes</v>
      </c>
      <c r="F223" s="33" t="str">
        <f>HYPERLINK("http://cgn.websites.wur.nl/website/pictures/Special_collection_CGNSC002/Flowers/TKI 236 (2016-08-08).JPG","Yes")</f>
        <v>Yes</v>
      </c>
      <c r="G223" s="33" t="str">
        <f>HYPERLINK("http://cgn.websites.wur.nl/website/pictures/Special_collection_CGNSC002/Seeds/TKI 236 (2017-01-18).JPG","Yes")</f>
        <v>Yes</v>
      </c>
      <c r="H223" s="1"/>
      <c r="I223" s="2" t="s">
        <v>600</v>
      </c>
      <c r="J223" s="15">
        <v>137</v>
      </c>
      <c r="K223" s="2"/>
      <c r="L223" s="2" t="s">
        <v>1877</v>
      </c>
      <c r="M223" s="2"/>
      <c r="N223" s="37" t="s">
        <v>2119</v>
      </c>
    </row>
    <row r="224" spans="1:14" x14ac:dyDescent="0.25">
      <c r="A224" s="6" t="s">
        <v>363</v>
      </c>
      <c r="B224" s="2" t="s">
        <v>591</v>
      </c>
      <c r="C224" s="2">
        <v>2016</v>
      </c>
      <c r="D224" s="32" t="str">
        <f>HYPERLINK("http://cgn.websites.wur.nl/website/pictures/Special_collection_CGNSC002/Juveniles/TKI 237 (2016-05-03).JPG","Yes")</f>
        <v>Yes</v>
      </c>
      <c r="E224" s="34" t="str">
        <f>HYPERLINK("http://cgn.websites.wur.nl/website/pictures/Special_collection_CGNSC002/Adults/TKI 237 (2016-05-30).JPG","Yes")</f>
        <v>Yes</v>
      </c>
      <c r="F224" s="33" t="str">
        <f>HYPERLINK("http://cgn.websites.wur.nl/website/pictures/Special_collection_CGNSC002/Flowers/TKI 237 (2016-09-08).JPG","Yes")</f>
        <v>Yes</v>
      </c>
      <c r="G224" s="33" t="str">
        <f>HYPERLINK("http://cgn.websites.wur.nl/website/pictures/Special_collection_CGNSC002/Seeds/TKI 237 (2017-01-18).JPG","Yes")</f>
        <v>Yes</v>
      </c>
      <c r="H224" s="1"/>
      <c r="I224" s="2" t="s">
        <v>599</v>
      </c>
      <c r="J224" s="15">
        <v>124</v>
      </c>
      <c r="K224" s="13" t="s">
        <v>596</v>
      </c>
      <c r="L224" s="2" t="s">
        <v>1877</v>
      </c>
      <c r="M224" s="2"/>
      <c r="N224" s="37" t="s">
        <v>2120</v>
      </c>
    </row>
    <row r="225" spans="1:14" x14ac:dyDescent="0.25">
      <c r="A225" s="6" t="s">
        <v>364</v>
      </c>
      <c r="B225" s="2" t="s">
        <v>591</v>
      </c>
      <c r="C225" s="2">
        <v>2016</v>
      </c>
      <c r="D225" s="32" t="str">
        <f>HYPERLINK("http://cgn.websites.wur.nl/website/pictures/Special_collection_CGNSC002/Juveniles/TKI 238 (2016-05-03).JPG","Yes")</f>
        <v>Yes</v>
      </c>
      <c r="E225" s="34" t="str">
        <f>HYPERLINK("http://cgn.websites.wur.nl/website/pictures/Special_collection_CGNSC002/Adults/TKI 238 (2016-05-30).JPG","Yes")</f>
        <v>Yes</v>
      </c>
      <c r="F225" s="33" t="str">
        <f>HYPERLINK("http://cgn.websites.wur.nl/website/pictures/Special_collection_CGNSC002/Flowers/TKI 238 (2016-08-15).JPG","Yes")</f>
        <v>Yes</v>
      </c>
      <c r="G225" s="33" t="str">
        <f>HYPERLINK("http://cgn.websites.wur.nl/website/pictures/Special_collection_CGNSC002/Seeds/TKI 238 (2017-01-18).JPG","Yes")</f>
        <v>Yes</v>
      </c>
      <c r="H225" s="1"/>
      <c r="I225" s="2" t="s">
        <v>600</v>
      </c>
      <c r="J225" s="15">
        <v>158</v>
      </c>
      <c r="K225" s="2"/>
      <c r="L225" s="2" t="s">
        <v>1877</v>
      </c>
      <c r="M225" s="2"/>
      <c r="N225" s="37" t="s">
        <v>2121</v>
      </c>
    </row>
    <row r="226" spans="1:14" x14ac:dyDescent="0.25">
      <c r="A226" s="6" t="s">
        <v>365</v>
      </c>
      <c r="B226" s="2" t="s">
        <v>591</v>
      </c>
      <c r="C226" s="2">
        <v>2016</v>
      </c>
      <c r="D226" s="32" t="str">
        <f>HYPERLINK("http://cgn.websites.wur.nl/website/pictures/Special_collection_CGNSC002/Juveniles/TKI 239 (2016-05-03).JPG","Yes")</f>
        <v>Yes</v>
      </c>
      <c r="E226" s="34" t="str">
        <f>HYPERLINK("http://cgn.websites.wur.nl/website/pictures/Special_collection_CGNSC002/Adults/TKI 239 (2016-05-30).JPG","Yes")</f>
        <v>Yes</v>
      </c>
      <c r="F226" s="33"/>
      <c r="G226" s="33" t="str">
        <f>HYPERLINK("http://cgn.websites.wur.nl/website/pictures/Special_collection_CGNSC002/Seeds/TKI 239 (2017-01-18).JPG","Yes")</f>
        <v>Yes</v>
      </c>
      <c r="H226" s="1"/>
      <c r="I226" s="2" t="s">
        <v>600</v>
      </c>
      <c r="J226" s="15">
        <v>137</v>
      </c>
      <c r="K226" s="2"/>
      <c r="L226" s="2" t="s">
        <v>1877</v>
      </c>
      <c r="M226" s="2"/>
      <c r="N226" s="37" t="s">
        <v>2122</v>
      </c>
    </row>
    <row r="227" spans="1:14" x14ac:dyDescent="0.25">
      <c r="A227" s="6" t="s">
        <v>366</v>
      </c>
      <c r="B227" s="2" t="s">
        <v>591</v>
      </c>
      <c r="C227" s="2">
        <v>2016</v>
      </c>
      <c r="D227" s="32" t="str">
        <f>HYPERLINK("http://cgn.websites.wur.nl/website/pictures/Special_collection_CGNSC002/Juveniles/TKI 240 (2016-05-03).JPG","Yes")</f>
        <v>Yes</v>
      </c>
      <c r="E227" s="34" t="str">
        <f>HYPERLINK("http://cgn.websites.wur.nl/website/pictures/Special_collection_CGNSC002/Adults/TKI 240 (2016-05-30).JPG","Yes")</f>
        <v>Yes</v>
      </c>
      <c r="F227" s="33"/>
      <c r="G227" s="33" t="str">
        <f>HYPERLINK("http://cgn.websites.wur.nl/website/pictures/Special_collection_CGNSC002/Seeds/TKI 240 (2017-01-18).JPG","Yes")</f>
        <v>Yes</v>
      </c>
      <c r="H227" s="1"/>
      <c r="I227" s="2" t="s">
        <v>600</v>
      </c>
      <c r="J227" s="15">
        <v>137</v>
      </c>
      <c r="K227" s="2"/>
      <c r="L227" s="2" t="s">
        <v>1877</v>
      </c>
      <c r="M227" s="2"/>
      <c r="N227" s="37" t="s">
        <v>2123</v>
      </c>
    </row>
    <row r="228" spans="1:14" x14ac:dyDescent="0.25">
      <c r="A228" s="6" t="s">
        <v>367</v>
      </c>
      <c r="B228" s="2" t="s">
        <v>591</v>
      </c>
      <c r="C228" s="2">
        <v>2016</v>
      </c>
      <c r="D228" s="32" t="str">
        <f>HYPERLINK("http://cgn.websites.wur.nl/website/pictures/Special_collection_CGNSC002/Juveniles/TKI 241 (2016-05-03).JPG","Yes")</f>
        <v>Yes</v>
      </c>
      <c r="E228" s="34" t="str">
        <f>HYPERLINK("http://cgn.websites.wur.nl/website/pictures/Special_collection_CGNSC002/Adults/TKI 241 (2016-05-30).JPG","Yes")</f>
        <v>Yes</v>
      </c>
      <c r="F228" s="33" t="str">
        <f>HYPERLINK("http://cgn.websites.wur.nl/website/pictures/Special_collection_CGNSC002/Flowers/TKI 241 (2016-08-15).JPG","Yes")</f>
        <v>Yes</v>
      </c>
      <c r="G228" s="33" t="str">
        <f>HYPERLINK("http://cgn.websites.wur.nl/website/pictures/Special_collection_CGNSC002/Seeds/TKI 241 (2017-01-18).JPG","Yes")</f>
        <v>Yes</v>
      </c>
      <c r="H228" s="1"/>
      <c r="I228" s="2" t="s">
        <v>600</v>
      </c>
      <c r="J228" s="15">
        <v>137</v>
      </c>
      <c r="K228" s="2"/>
      <c r="L228" s="2" t="s">
        <v>1877</v>
      </c>
      <c r="M228" s="2"/>
      <c r="N228" s="37" t="s">
        <v>2124</v>
      </c>
    </row>
    <row r="229" spans="1:14" x14ac:dyDescent="0.25">
      <c r="A229" s="6" t="s">
        <v>368</v>
      </c>
      <c r="B229" s="2" t="s">
        <v>591</v>
      </c>
      <c r="C229" s="2">
        <v>2016</v>
      </c>
      <c r="D229" s="32" t="str">
        <f>HYPERLINK("http://cgn.websites.wur.nl/website/pictures/Special_collection_CGNSC002/Juveniles/TKI 242 (2016-05-03).JPG","Yes")</f>
        <v>Yes</v>
      </c>
      <c r="E229" s="34" t="str">
        <f>HYPERLINK("http://cgn.websites.wur.nl/website/pictures/Special_collection_CGNSC002/Adults/TKI 242 (2016-05-30).JPG","Yes")</f>
        <v>Yes</v>
      </c>
      <c r="F229" s="33"/>
      <c r="G229" s="33" t="str">
        <f>HYPERLINK("http://cgn.websites.wur.nl/website/pictures/Special_collection_CGNSC002/Seeds/TKI 242 (2017-01-18).JPG","Yes")</f>
        <v>Yes</v>
      </c>
      <c r="H229" s="1"/>
      <c r="I229" s="2" t="s">
        <v>600</v>
      </c>
      <c r="J229" s="15">
        <v>144</v>
      </c>
      <c r="K229" s="2"/>
      <c r="L229" s="2" t="s">
        <v>1877</v>
      </c>
      <c r="M229" s="2"/>
      <c r="N229" s="37" t="s">
        <v>2125</v>
      </c>
    </row>
    <row r="230" spans="1:14" x14ac:dyDescent="0.25">
      <c r="A230" s="6" t="s">
        <v>369</v>
      </c>
      <c r="B230" s="2" t="s">
        <v>591</v>
      </c>
      <c r="C230" s="2">
        <v>2016</v>
      </c>
      <c r="D230" s="32" t="str">
        <f>HYPERLINK("http://cgn.websites.wur.nl/website/pictures/Special_collection_CGNSC002/Juveniles/TKI 243 (2016-05-03).JPG","Yes")</f>
        <v>Yes</v>
      </c>
      <c r="E230" s="34" t="str">
        <f>HYPERLINK("http://cgn.websites.wur.nl/website/pictures/Special_collection_CGNSC002/Adults/TKI 243 (2016-05-30).JPG","Yes")</f>
        <v>Yes</v>
      </c>
      <c r="F230" s="33" t="str">
        <f>HYPERLINK("http://cgn.websites.wur.nl/website/pictures/Special_collection_CGNSC002/Flowers/TKI 243 (2016-08-08).JPG","Yes")</f>
        <v>Yes</v>
      </c>
      <c r="G230" s="33" t="str">
        <f>HYPERLINK("http://cgn.websites.wur.nl/website/pictures/Special_collection_CGNSC002/Seeds/TKI 243 (2017-01-18).JPG","Yes")</f>
        <v>Yes</v>
      </c>
      <c r="H230" s="1"/>
      <c r="I230" s="2" t="s">
        <v>600</v>
      </c>
      <c r="J230" s="15">
        <v>130</v>
      </c>
      <c r="K230" s="2"/>
      <c r="L230" s="2" t="s">
        <v>1877</v>
      </c>
      <c r="M230" s="2"/>
      <c r="N230" s="37" t="s">
        <v>2126</v>
      </c>
    </row>
    <row r="231" spans="1:14" x14ac:dyDescent="0.25">
      <c r="A231" s="6" t="s">
        <v>370</v>
      </c>
      <c r="B231" s="2" t="s">
        <v>591</v>
      </c>
      <c r="C231" s="2">
        <v>2016</v>
      </c>
      <c r="D231" s="32" t="str">
        <f>HYPERLINK("http://cgn.websites.wur.nl/website/pictures/Special_collection_CGNSC002/Juveniles/TKI 244 (2016-05-03).JPG","Yes")</f>
        <v>Yes</v>
      </c>
      <c r="E231" s="34" t="str">
        <f>HYPERLINK("http://cgn.websites.wur.nl/website/pictures/Special_collection_CGNSC002/Adults/TKI 244 (2016-05-30).JPG","Yes")</f>
        <v>Yes</v>
      </c>
      <c r="F231" s="33" t="str">
        <f>HYPERLINK("http://cgn.websites.wur.nl/website/pictures/Special_collection_CGNSC002/Flowers/TKI 244 (2016-07-18).JPG","Yes")</f>
        <v>Yes</v>
      </c>
      <c r="G231" s="33" t="str">
        <f>HYPERLINK("http://cgn.websites.wur.nl/website/pictures/Special_collection_CGNSC002/Seeds/TKI 244 (2017-01-18).JPG","Yes")</f>
        <v>Yes</v>
      </c>
      <c r="H231" s="1"/>
      <c r="I231" s="2" t="s">
        <v>600</v>
      </c>
      <c r="J231" s="15">
        <v>144</v>
      </c>
      <c r="K231" s="2"/>
      <c r="L231" s="2" t="s">
        <v>1877</v>
      </c>
      <c r="M231" s="2"/>
      <c r="N231" s="37" t="s">
        <v>2127</v>
      </c>
    </row>
    <row r="232" spans="1:14" x14ac:dyDescent="0.25">
      <c r="A232" s="6" t="s">
        <v>371</v>
      </c>
      <c r="B232" s="2" t="s">
        <v>591</v>
      </c>
      <c r="C232" s="2">
        <v>2016</v>
      </c>
      <c r="D232" s="32" t="str">
        <f>HYPERLINK("http://cgn.websites.wur.nl/website/pictures/Special_collection_CGNSC002/Juveniles/TKI 245 (2016-05-03).JPG","Yes")</f>
        <v>Yes</v>
      </c>
      <c r="E232" s="34" t="str">
        <f>HYPERLINK("http://cgn.websites.wur.nl/website/pictures/Special_collection_CGNSC002/Adults/TKI 245 (2016-05-30).JPG","Yes")</f>
        <v>Yes</v>
      </c>
      <c r="F232" s="33" t="str">
        <f>HYPERLINK("http://cgn.websites.wur.nl/website/pictures/Special_collection_CGNSC002/Flowers/TKI 245 (2016-09-14).JPG","Yes")</f>
        <v>Yes</v>
      </c>
      <c r="G232" s="33" t="str">
        <f>HYPERLINK("http://cgn.websites.wur.nl/website/pictures/Special_collection_CGNSC002/Seeds/TKI 245 (2017-01-18).JPG","Yes")</f>
        <v>Yes</v>
      </c>
      <c r="H232" s="1"/>
      <c r="I232" s="2" t="s">
        <v>600</v>
      </c>
      <c r="J232" s="15">
        <v>144</v>
      </c>
      <c r="K232" s="2"/>
      <c r="L232" s="2" t="s">
        <v>1877</v>
      </c>
      <c r="M232" s="2"/>
      <c r="N232" s="37" t="s">
        <v>2128</v>
      </c>
    </row>
    <row r="233" spans="1:14" x14ac:dyDescent="0.25">
      <c r="A233" s="6" t="s">
        <v>372</v>
      </c>
      <c r="B233" s="2" t="s">
        <v>591</v>
      </c>
      <c r="C233" s="2">
        <v>2016</v>
      </c>
      <c r="D233" s="32" t="str">
        <f>HYPERLINK("http://cgn.websites.wur.nl/website/pictures/Special_collection_CGNSC002/Juveniles/TKI 246 (2016-05-03).JPG","Yes")</f>
        <v>Yes</v>
      </c>
      <c r="E233" s="34" t="str">
        <f>HYPERLINK("http://cgn.websites.wur.nl/website/pictures/Special_collection_CGNSC002/Adults/TKI 246 (2016-05-30).JPG","Yes")</f>
        <v>Yes</v>
      </c>
      <c r="F233" s="33" t="str">
        <f>HYPERLINK("http://cgn.websites.wur.nl/website/pictures/Special_collection_CGNSC002/Flowers/TKI 246 (2016-07-04).JPG","Yes")</f>
        <v>Yes</v>
      </c>
      <c r="G233" s="33" t="str">
        <f>HYPERLINK("http://cgn.websites.wur.nl/website/pictures/Special_collection_CGNSC002/Seeds/TKI 246 (2017-01-18).JPG","Yes")</f>
        <v>Yes</v>
      </c>
      <c r="H233" s="1"/>
      <c r="I233" s="2" t="s">
        <v>599</v>
      </c>
      <c r="J233" s="15">
        <v>144</v>
      </c>
      <c r="K233" s="2"/>
      <c r="L233" s="2" t="s">
        <v>1877</v>
      </c>
      <c r="M233" s="2"/>
      <c r="N233" s="37" t="s">
        <v>2129</v>
      </c>
    </row>
    <row r="234" spans="1:14" x14ac:dyDescent="0.25">
      <c r="A234" s="6" t="s">
        <v>373</v>
      </c>
      <c r="B234" s="2" t="s">
        <v>591</v>
      </c>
      <c r="C234" s="2">
        <v>2016</v>
      </c>
      <c r="D234" s="32" t="str">
        <f>HYPERLINK("http://cgn.websites.wur.nl/website/pictures/Special_collection_CGNSC002/Juveniles/TKI 248 (2016-05-03).JPG","Yes")</f>
        <v>Yes</v>
      </c>
      <c r="E234" s="34" t="str">
        <f>HYPERLINK("http://cgn.websites.wur.nl/website/pictures/Special_collection_CGNSC002/Adults/TKI 248 (2016-05-30).JPG","Yes")</f>
        <v>Yes</v>
      </c>
      <c r="F234" s="33" t="str">
        <f>HYPERLINK("http://cgn.websites.wur.nl/website/pictures/Special_collection_CGNSC002/Flowers/TKI 248 (2016-08-08).JPG","Yes")</f>
        <v>Yes</v>
      </c>
      <c r="G234" s="33" t="str">
        <f>HYPERLINK("http://cgn.websites.wur.nl/website/pictures/Special_collection_CGNSC002/Seeds/TKI 248 (2017-01-18).JPG","Yes")</f>
        <v>Yes</v>
      </c>
      <c r="H234" s="1"/>
      <c r="I234" s="2" t="s">
        <v>600</v>
      </c>
      <c r="J234" s="15">
        <v>137</v>
      </c>
      <c r="K234" s="2"/>
      <c r="L234" s="2" t="s">
        <v>1877</v>
      </c>
      <c r="M234" s="2"/>
      <c r="N234" s="37" t="s">
        <v>2130</v>
      </c>
    </row>
    <row r="235" spans="1:14" x14ac:dyDescent="0.25">
      <c r="A235" s="6" t="s">
        <v>374</v>
      </c>
      <c r="B235" s="2" t="s">
        <v>591</v>
      </c>
      <c r="C235" s="2">
        <v>2016</v>
      </c>
      <c r="D235" s="32" t="str">
        <f>HYPERLINK("http://cgn.websites.wur.nl/website/pictures/Special_collection_CGNSC002/Juveniles/TKI 249 (2016-05-03).JPG","Yes")</f>
        <v>Yes</v>
      </c>
      <c r="E235" s="34" t="str">
        <f>HYPERLINK("http://cgn.websites.wur.nl/website/pictures/Special_collection_CGNSC002/Adults/TKI 249 (2016-05-30).JPG","Yes")</f>
        <v>Yes</v>
      </c>
      <c r="F235" s="33" t="str">
        <f>HYPERLINK("http://cgn.websites.wur.nl/website/pictures/Special_collection_CGNSC002/Flowers/TKI 249 (2016-09-05).JPG","Yes")</f>
        <v>Yes</v>
      </c>
      <c r="G235" s="33" t="str">
        <f>HYPERLINK("http://cgn.websites.wur.nl/website/pictures/Special_collection_CGNSC002/Seeds/TKI 249 (2017-01-18).JPG","Yes")</f>
        <v>Yes</v>
      </c>
      <c r="H235" s="1"/>
      <c r="I235" s="2" t="s">
        <v>600</v>
      </c>
      <c r="J235" s="15">
        <v>158</v>
      </c>
      <c r="K235" s="2"/>
      <c r="L235" s="2" t="s">
        <v>1877</v>
      </c>
      <c r="M235" s="2"/>
      <c r="N235" s="37" t="s">
        <v>2131</v>
      </c>
    </row>
    <row r="236" spans="1:14" x14ac:dyDescent="0.25">
      <c r="A236" s="6" t="s">
        <v>375</v>
      </c>
      <c r="B236" s="2" t="s">
        <v>591</v>
      </c>
      <c r="C236" s="2">
        <v>2016</v>
      </c>
      <c r="D236" s="32" t="str">
        <f>HYPERLINK("http://cgn.websites.wur.nl/website/pictures/Special_collection_CGNSC002/Juveniles/TKI 250 (2016-05-03).JPG","Yes")</f>
        <v>Yes</v>
      </c>
      <c r="E236" s="34" t="str">
        <f>HYPERLINK("http://cgn.websites.wur.nl/website/pictures/Special_collection_CGNSC002/Adults/TKI 250 (2016-05-30).JPG","Yes")</f>
        <v>Yes</v>
      </c>
      <c r="F236" s="33"/>
      <c r="G236" s="33" t="str">
        <f>HYPERLINK("http://cgn.websites.wur.nl/website/pictures/Special_collection_CGNSC002/Seeds/TKI 250 (2017-01-18).JPG","Yes")</f>
        <v>Yes</v>
      </c>
      <c r="H236" s="1"/>
      <c r="I236" s="2" t="s">
        <v>600</v>
      </c>
      <c r="J236" s="15">
        <v>158</v>
      </c>
      <c r="K236" s="2"/>
      <c r="L236" s="2" t="s">
        <v>1877</v>
      </c>
      <c r="M236" s="2"/>
      <c r="N236" s="37" t="s">
        <v>2132</v>
      </c>
    </row>
    <row r="237" spans="1:14" x14ac:dyDescent="0.25">
      <c r="A237" s="6" t="s">
        <v>376</v>
      </c>
      <c r="B237" s="2" t="s">
        <v>591</v>
      </c>
      <c r="C237" s="2">
        <v>2016</v>
      </c>
      <c r="D237" s="32" t="str">
        <f>HYPERLINK("http://cgn.websites.wur.nl/website/pictures/Special_collection_CGNSC002/Juveniles/TKI 251 (2016-05-03).JPG","Yes")</f>
        <v>Yes</v>
      </c>
      <c r="E237" s="34" t="str">
        <f>HYPERLINK("http://cgn.websites.wur.nl/website/pictures/Special_collection_CGNSC002/Adults/TKI 251 (2016-05-30).JPG","Yes")</f>
        <v>Yes</v>
      </c>
      <c r="F237" s="33" t="str">
        <f>HYPERLINK("http://cgn.websites.wur.nl/website/pictures/Special_collection_CGNSC002/Flowers/TKI 251 (2016-09-05).JPG","Yes")</f>
        <v>Yes</v>
      </c>
      <c r="G237" s="33" t="str">
        <f>HYPERLINK("http://cgn.websites.wur.nl/website/pictures/Special_collection_CGNSC002/Seeds/TKI 251 (2017-01-18).JPG","Yes")</f>
        <v>Yes</v>
      </c>
      <c r="H237" s="1"/>
      <c r="I237" s="2" t="s">
        <v>600</v>
      </c>
      <c r="J237" s="15">
        <v>166</v>
      </c>
      <c r="K237" s="2"/>
      <c r="L237" s="2" t="s">
        <v>1877</v>
      </c>
      <c r="M237" s="2"/>
      <c r="N237" s="37" t="s">
        <v>2133</v>
      </c>
    </row>
    <row r="238" spans="1:14" x14ac:dyDescent="0.25">
      <c r="A238" s="6" t="s">
        <v>377</v>
      </c>
      <c r="B238" s="2" t="s">
        <v>591</v>
      </c>
      <c r="C238" s="2">
        <v>2016</v>
      </c>
      <c r="D238" s="32" t="str">
        <f>HYPERLINK("http://cgn.websites.wur.nl/website/pictures/Special_collection_CGNSC002/Juveniles/TKI 252 (2016-05-03).JPG","Yes")</f>
        <v>Yes</v>
      </c>
      <c r="E238" s="34" t="str">
        <f>HYPERLINK("http://cgn.websites.wur.nl/website/pictures/Special_collection_CGNSC002/Adults/TKI 252 (2016-05-30).JPG","Yes")</f>
        <v>Yes</v>
      </c>
      <c r="F238" s="33" t="str">
        <f>HYPERLINK("http://cgn.websites.wur.nl/website/pictures/Special_collection_CGNSC002/Flowers/TKI 252 (2016-08-18).JPG","Yes")</f>
        <v>Yes</v>
      </c>
      <c r="G238" s="33" t="str">
        <f>HYPERLINK("http://cgn.websites.wur.nl/website/pictures/Special_collection_CGNSC002/Seeds/TKI 252 (2017-01-18).JPG","Yes")</f>
        <v>Yes</v>
      </c>
      <c r="H238" s="1"/>
      <c r="I238" s="2" t="s">
        <v>600</v>
      </c>
      <c r="J238" s="15">
        <v>166</v>
      </c>
      <c r="K238" s="2"/>
      <c r="L238" s="2" t="s">
        <v>1876</v>
      </c>
      <c r="M238" s="2" t="s">
        <v>1875</v>
      </c>
      <c r="N238" s="37" t="s">
        <v>2134</v>
      </c>
    </row>
    <row r="239" spans="1:14" x14ac:dyDescent="0.25">
      <c r="A239" s="6" t="s">
        <v>378</v>
      </c>
      <c r="B239" s="2" t="s">
        <v>591</v>
      </c>
      <c r="C239" s="2">
        <v>2016</v>
      </c>
      <c r="D239" s="32" t="str">
        <f>HYPERLINK("http://cgn.websites.wur.nl/website/pictures/Special_collection_CGNSC002/Juveniles/TKI 253 (2016-05-03).JPG","Yes")</f>
        <v>Yes</v>
      </c>
      <c r="E239" s="34" t="str">
        <f>HYPERLINK("http://cgn.websites.wur.nl/website/pictures/Special_collection_CGNSC002/Adults/TKI 253 (2016-05-30).JPG","Yes")</f>
        <v>Yes</v>
      </c>
      <c r="F239" s="33" t="str">
        <f>HYPERLINK("http://cgn.websites.wur.nl/website/pictures/Special_collection_CGNSC002/Flowers/TKI 253 (2016-09-05).JPG","Yes")</f>
        <v>Yes</v>
      </c>
      <c r="G239" s="33" t="str">
        <f>HYPERLINK("http://cgn.websites.wur.nl/website/pictures/Special_collection_CGNSC002/Seeds/TKI 253 (2017-01-18).JPG","Yes")</f>
        <v>Yes</v>
      </c>
      <c r="H239" s="1"/>
      <c r="I239" s="2" t="s">
        <v>600</v>
      </c>
      <c r="J239" s="15">
        <v>166</v>
      </c>
      <c r="K239" s="2"/>
      <c r="L239" s="2" t="s">
        <v>1877</v>
      </c>
      <c r="M239" s="2"/>
      <c r="N239" s="37" t="s">
        <v>2135</v>
      </c>
    </row>
    <row r="240" spans="1:14" x14ac:dyDescent="0.25">
      <c r="A240" s="6" t="s">
        <v>379</v>
      </c>
      <c r="B240" s="2" t="s">
        <v>591</v>
      </c>
      <c r="C240" s="2">
        <v>2016</v>
      </c>
      <c r="D240" s="32" t="str">
        <f>HYPERLINK("http://cgn.websites.wur.nl/website/pictures/Special_collection_CGNSC002/Juveniles/TKI 254 (2016-05-03).JPG","Yes")</f>
        <v>Yes</v>
      </c>
      <c r="E240" s="34" t="str">
        <f>HYPERLINK("http://cgn.websites.wur.nl/website/pictures/Special_collection_CGNSC002/Adults/TKI 254 (2016-05-30).JPG","Yes")</f>
        <v>Yes</v>
      </c>
      <c r="F240" s="33" t="str">
        <f>HYPERLINK("http://cgn.websites.wur.nl/website/pictures/Special_collection_CGNSC002/Flowers/TKI 254 (2016-06-27).JPG","Yes")</f>
        <v>Yes</v>
      </c>
      <c r="G240" s="33" t="str">
        <f>HYPERLINK("http://cgn.websites.wur.nl/website/pictures/Special_collection_CGNSC002/Seeds/TKI 254 (2017-01-18).JPG","Yes")</f>
        <v>Yes</v>
      </c>
      <c r="H240" s="1"/>
      <c r="I240" s="2" t="s">
        <v>600</v>
      </c>
      <c r="J240" s="15">
        <v>124</v>
      </c>
      <c r="K240" s="2"/>
      <c r="L240" s="2" t="s">
        <v>1877</v>
      </c>
      <c r="M240" s="2"/>
      <c r="N240" s="37" t="s">
        <v>2136</v>
      </c>
    </row>
    <row r="241" spans="1:14" x14ac:dyDescent="0.25">
      <c r="A241" s="6" t="s">
        <v>380</v>
      </c>
      <c r="B241" s="2" t="s">
        <v>591</v>
      </c>
      <c r="C241" s="2">
        <v>2016</v>
      </c>
      <c r="D241" s="32" t="str">
        <f>HYPERLINK("http://cgn.websites.wur.nl/website/pictures/Special_collection_CGNSC002/Juveniles/TKI 255 (2016-05-03).JPG","Yes")</f>
        <v>Yes</v>
      </c>
      <c r="E241" s="34" t="str">
        <f>HYPERLINK("http://cgn.websites.wur.nl/website/pictures/Special_collection_CGNSC002/Adults/TKI 255 (2016-05-30).JPG","Yes")</f>
        <v>Yes</v>
      </c>
      <c r="F241" s="33" t="str">
        <f>HYPERLINK("http://cgn.websites.wur.nl/website/pictures/Special_collection_CGNSC002/Flowers/TKI 255 (2016-09-05).JPG","Yes")</f>
        <v>Yes</v>
      </c>
      <c r="G241" s="33" t="str">
        <f>HYPERLINK("http://cgn.websites.wur.nl/website/pictures/Special_collection_CGNSC002/Seeds/TKI 255 (2017-01-18).JPG","Yes")</f>
        <v>Yes</v>
      </c>
      <c r="H241" s="1"/>
      <c r="I241" s="2" t="s">
        <v>600</v>
      </c>
      <c r="J241" s="15">
        <v>158</v>
      </c>
      <c r="K241" s="2"/>
      <c r="L241" s="2" t="s">
        <v>1877</v>
      </c>
      <c r="M241" s="2"/>
      <c r="N241" s="37" t="s">
        <v>2137</v>
      </c>
    </row>
    <row r="242" spans="1:14" x14ac:dyDescent="0.25">
      <c r="A242" s="6" t="s">
        <v>381</v>
      </c>
      <c r="B242" s="2" t="s">
        <v>591</v>
      </c>
      <c r="C242" s="2">
        <v>2016</v>
      </c>
      <c r="D242" s="32" t="str">
        <f>HYPERLINK("http://cgn.websites.wur.nl/website/pictures/Special_collection_CGNSC002/Juveniles/TKI 256 (2016-05-03).JPG","Yes")</f>
        <v>Yes</v>
      </c>
      <c r="E242" s="34" t="str">
        <f>HYPERLINK("http://cgn.websites.wur.nl/website/pictures/Special_collection_CGNSC002/Adults/TKI 256 (2016-05-30).JPG","Yes")</f>
        <v>Yes</v>
      </c>
      <c r="F242" s="33" t="str">
        <f>HYPERLINK("http://cgn.websites.wur.nl/website/pictures/Special_collection_CGNSC002/Flowers/TKI 256 (2016-07-28).JPG","Yes")</f>
        <v>Yes</v>
      </c>
      <c r="G242" s="33" t="str">
        <f>HYPERLINK("http://cgn.websites.wur.nl/website/pictures/Special_collection_CGNSC002/Seeds/TKI 256 (2017-01-18).JPG","Yes")</f>
        <v>Yes</v>
      </c>
      <c r="H242" s="1"/>
      <c r="I242" s="2" t="s">
        <v>600</v>
      </c>
      <c r="J242" s="15">
        <v>137</v>
      </c>
      <c r="K242" s="2"/>
      <c r="L242" s="2" t="s">
        <v>1877</v>
      </c>
      <c r="M242" s="2"/>
      <c r="N242" s="37" t="s">
        <v>2138</v>
      </c>
    </row>
    <row r="243" spans="1:14" x14ac:dyDescent="0.25">
      <c r="A243" s="6" t="s">
        <v>382</v>
      </c>
      <c r="B243" s="2" t="s">
        <v>591</v>
      </c>
      <c r="C243" s="2">
        <v>2016</v>
      </c>
      <c r="D243" s="32" t="str">
        <f>HYPERLINK("http://cgn.websites.wur.nl/website/pictures/Special_collection_CGNSC002/Juveniles/TKI 257 (2016-05-03).JPG","Yes")</f>
        <v>Yes</v>
      </c>
      <c r="E243" s="34" t="str">
        <f>HYPERLINK("http://cgn.websites.wur.nl/website/pictures/Special_collection_CGNSC002/Adults/TKI 257 (2016-05-30).JPG","Yes")</f>
        <v>Yes</v>
      </c>
      <c r="F243" s="33"/>
      <c r="G243" s="33" t="str">
        <f>HYPERLINK("http://cgn.websites.wur.nl/website/pictures/Special_collection_CGNSC002/Seeds/TKI 257 (2017-01-18).JPG","Yes")</f>
        <v>Yes</v>
      </c>
      <c r="H243" s="1"/>
      <c r="I243" s="2" t="s">
        <v>600</v>
      </c>
      <c r="J243" s="15">
        <v>158</v>
      </c>
      <c r="K243" s="2"/>
      <c r="L243" s="2" t="s">
        <v>1876</v>
      </c>
      <c r="M243" s="2" t="s">
        <v>1875</v>
      </c>
      <c r="N243" s="37" t="s">
        <v>2139</v>
      </c>
    </row>
    <row r="244" spans="1:14" x14ac:dyDescent="0.25">
      <c r="A244" s="6" t="s">
        <v>383</v>
      </c>
      <c r="B244" s="2" t="s">
        <v>591</v>
      </c>
      <c r="C244" s="2">
        <v>2016</v>
      </c>
      <c r="D244" s="32" t="str">
        <f>HYPERLINK("http://cgn.websites.wur.nl/website/pictures/Special_collection_CGNSC002/Juveniles/TKI 258 (2016-05-03).JPG","Yes")</f>
        <v>Yes</v>
      </c>
      <c r="E244" s="34" t="str">
        <f>HYPERLINK("http://cgn.websites.wur.nl/website/pictures/Special_collection_CGNSC002/Adults/TKI 258 (2016-05-30).JPG","Yes")</f>
        <v>Yes</v>
      </c>
      <c r="F244" s="33" t="str">
        <f>HYPERLINK("http://cgn.websites.wur.nl/website/pictures/Special_collection_CGNSC002/Flowers/TKI 258 (2016-08-15).JPG","Yes")</f>
        <v>Yes</v>
      </c>
      <c r="G244" s="33" t="str">
        <f>HYPERLINK("http://cgn.websites.wur.nl/website/pictures/Special_collection_CGNSC002/Seeds/TKI 258 (2017-01-18).JPG","Yes")</f>
        <v>Yes</v>
      </c>
      <c r="H244" s="1"/>
      <c r="I244" s="2" t="s">
        <v>600</v>
      </c>
      <c r="J244" s="15">
        <v>144</v>
      </c>
      <c r="K244" s="2"/>
      <c r="L244" s="2" t="s">
        <v>1877</v>
      </c>
      <c r="M244" s="2"/>
      <c r="N244" s="37" t="s">
        <v>2140</v>
      </c>
    </row>
    <row r="245" spans="1:14" x14ac:dyDescent="0.25">
      <c r="A245" s="6" t="s">
        <v>384</v>
      </c>
      <c r="B245" s="2" t="s">
        <v>591</v>
      </c>
      <c r="C245" s="2">
        <v>2016</v>
      </c>
      <c r="D245" s="32" t="str">
        <f>HYPERLINK("http://cgn.websites.wur.nl/website/pictures/Special_collection_CGNSC002/Juveniles/TKI 259 (2016-05-03).JPG","Yes")</f>
        <v>Yes</v>
      </c>
      <c r="E245" s="34" t="str">
        <f>HYPERLINK("http://cgn.websites.wur.nl/website/pictures/Special_collection_CGNSC002/Adults/TKI 259 (2016-05-30).JPG","Yes")</f>
        <v>Yes</v>
      </c>
      <c r="F245" s="33" t="str">
        <f>HYPERLINK("http://cgn.websites.wur.nl/website/pictures/Special_collection_CGNSC002/Flowers/TKI 259 (2016-08-08).JPG","Yes")</f>
        <v>Yes</v>
      </c>
      <c r="G245" s="33" t="str">
        <f>HYPERLINK("http://cgn.websites.wur.nl/website/pictures/Special_collection_CGNSC002/Seeds/TKI 259 (2017-01-18).JPG","Yes")</f>
        <v>Yes</v>
      </c>
      <c r="H245" s="1"/>
      <c r="I245" s="2" t="s">
        <v>599</v>
      </c>
      <c r="J245" s="15">
        <v>144</v>
      </c>
      <c r="K245" s="2"/>
      <c r="L245" s="2" t="s">
        <v>1877</v>
      </c>
      <c r="M245" s="2"/>
      <c r="N245" s="37" t="s">
        <v>2141</v>
      </c>
    </row>
    <row r="246" spans="1:14" x14ac:dyDescent="0.25">
      <c r="A246" s="6" t="s">
        <v>385</v>
      </c>
      <c r="B246" s="2" t="s">
        <v>591</v>
      </c>
      <c r="C246" s="2">
        <v>2016</v>
      </c>
      <c r="D246" s="32" t="str">
        <f>HYPERLINK("http://cgn.websites.wur.nl/website/pictures/Special_collection_CGNSC002/Juveniles/TKI 260 (2016-05-03).JPG","Yes")</f>
        <v>Yes</v>
      </c>
      <c r="E246" s="34" t="str">
        <f>HYPERLINK("http://cgn.websites.wur.nl/website/pictures/Special_collection_CGNSC002/Adults/TKI 260 (2016-05-31).JPG","Yes")</f>
        <v>Yes</v>
      </c>
      <c r="F246" s="33" t="str">
        <f>HYPERLINK("http://cgn.websites.wur.nl/website/pictures/Special_collection_CGNSC002/Flowers/TKI 260 (2016-06-27).JPG","Yes")</f>
        <v>Yes</v>
      </c>
      <c r="G246" s="33" t="str">
        <f>HYPERLINK("http://cgn.websites.wur.nl/website/pictures/Special_collection_CGNSC002/Seeds/TKI 260 (2017-01-25).JPG","Yes")</f>
        <v>Yes</v>
      </c>
      <c r="H246" s="1"/>
      <c r="I246" s="2" t="s">
        <v>600</v>
      </c>
      <c r="J246" s="15">
        <v>137</v>
      </c>
      <c r="K246" s="2"/>
      <c r="L246" s="2" t="s">
        <v>1876</v>
      </c>
      <c r="M246" s="2" t="s">
        <v>1875</v>
      </c>
      <c r="N246" s="37" t="s">
        <v>2142</v>
      </c>
    </row>
    <row r="247" spans="1:14" x14ac:dyDescent="0.25">
      <c r="A247" s="6" t="s">
        <v>386</v>
      </c>
      <c r="B247" s="2" t="s">
        <v>591</v>
      </c>
      <c r="C247" s="2">
        <v>2016</v>
      </c>
      <c r="D247" s="32" t="str">
        <f>HYPERLINK("http://cgn.websites.wur.nl/website/pictures/Special_collection_CGNSC002/Juveniles/TKI 261 (2016-05-03).JPG","Yes")</f>
        <v>Yes</v>
      </c>
      <c r="E247" s="34" t="str">
        <f>HYPERLINK("http://cgn.websites.wur.nl/website/pictures/Special_collection_CGNSC002/Adults/TKI 261 (2016-05-31).JPG","Yes")</f>
        <v>Yes</v>
      </c>
      <c r="F247" s="33" t="str">
        <f>HYPERLINK("http://cgn.websites.wur.nl/website/pictures/Special_collection_CGNSC002/Flowers/TKI 261 (2016-08-01).JPG","Yes")</f>
        <v>Yes</v>
      </c>
      <c r="G247" s="33" t="str">
        <f>HYPERLINK("http://cgn.websites.wur.nl/website/pictures/Special_collection_CGNSC002/Seeds/TKI 261 (2017-01-25).JPG","Yes")</f>
        <v>Yes</v>
      </c>
      <c r="H247" s="1"/>
      <c r="I247" s="2" t="s">
        <v>600</v>
      </c>
      <c r="J247" s="15">
        <v>144</v>
      </c>
      <c r="K247" s="2"/>
      <c r="L247" s="2" t="s">
        <v>1877</v>
      </c>
      <c r="M247" s="2"/>
      <c r="N247" s="37" t="s">
        <v>2143</v>
      </c>
    </row>
    <row r="248" spans="1:14" x14ac:dyDescent="0.25">
      <c r="A248" s="6" t="s">
        <v>387</v>
      </c>
      <c r="B248" s="2" t="s">
        <v>591</v>
      </c>
      <c r="C248" s="2">
        <v>2016</v>
      </c>
      <c r="D248" s="32" t="str">
        <f>HYPERLINK("http://cgn.websites.wur.nl/website/pictures/Special_collection_CGNSC002/Juveniles/TKI 262 (2016-05-03).JPG","Yes")</f>
        <v>Yes</v>
      </c>
      <c r="E248" s="34" t="str">
        <f>HYPERLINK("http://cgn.websites.wur.nl/website/pictures/Special_collection_CGNSC002/Adults/TKI 262 (2016-05-31).JPG","Yes")</f>
        <v>Yes</v>
      </c>
      <c r="F248" s="33" t="str">
        <f>HYPERLINK("http://cgn.websites.wur.nl/website/pictures/Special_collection_CGNSC002/Flowers/TKI 262 (2016-08-08).JPG","Yes")</f>
        <v>Yes</v>
      </c>
      <c r="G248" s="33" t="str">
        <f>HYPERLINK("http://cgn.websites.wur.nl/website/pictures/Special_collection_CGNSC002/Seeds/TKI 262 (2017-01-25).JPG","Yes")</f>
        <v>Yes</v>
      </c>
      <c r="H248" s="1"/>
      <c r="I248" s="2" t="s">
        <v>600</v>
      </c>
      <c r="J248" s="15">
        <v>144</v>
      </c>
      <c r="K248" s="2"/>
      <c r="L248" s="2" t="s">
        <v>1877</v>
      </c>
      <c r="M248" s="2"/>
      <c r="N248" s="37" t="s">
        <v>2144</v>
      </c>
    </row>
    <row r="249" spans="1:14" x14ac:dyDescent="0.25">
      <c r="A249" s="6" t="s">
        <v>388</v>
      </c>
      <c r="B249" s="2" t="s">
        <v>591</v>
      </c>
      <c r="C249" s="2">
        <v>2016</v>
      </c>
      <c r="D249" s="32" t="str">
        <f>HYPERLINK("http://cgn.websites.wur.nl/website/pictures/Special_collection_CGNSC002/Juveniles/TKI 263 (2016-05-03).JPG","Yes")</f>
        <v>Yes</v>
      </c>
      <c r="E249" s="34" t="str">
        <f>HYPERLINK("http://cgn.websites.wur.nl/website/pictures/Special_collection_CGNSC002/Adults/TKI 263 (2016-05-31).JPG","Yes")</f>
        <v>Yes</v>
      </c>
      <c r="F249" s="33" t="str">
        <f>HYPERLINK("http://cgn.websites.wur.nl/website/pictures/Special_collection_CGNSC002/Flowers/TKI 263 (2016-06-27).JPG","Yes")</f>
        <v>Yes</v>
      </c>
      <c r="G249" s="33" t="str">
        <f>HYPERLINK("http://cgn.websites.wur.nl/website/pictures/Special_collection_CGNSC002/Seeds/TKI 263 (2017-01-25).JPG","Yes")</f>
        <v>Yes</v>
      </c>
      <c r="H249" s="1"/>
      <c r="I249" s="2" t="s">
        <v>600</v>
      </c>
      <c r="J249" s="15">
        <v>137</v>
      </c>
      <c r="K249" s="2"/>
      <c r="L249" s="2" t="s">
        <v>1877</v>
      </c>
      <c r="M249" s="2"/>
      <c r="N249" s="37" t="s">
        <v>2145</v>
      </c>
    </row>
    <row r="250" spans="1:14" x14ac:dyDescent="0.25">
      <c r="A250" s="6" t="s">
        <v>389</v>
      </c>
      <c r="B250" s="2" t="s">
        <v>591</v>
      </c>
      <c r="C250" s="2">
        <v>2016</v>
      </c>
      <c r="D250" s="32" t="str">
        <f>HYPERLINK("http://cgn.websites.wur.nl/website/pictures/Special_collection_CGNSC002/Juveniles/TKI 264 (2016-05-03).JPG","Yes")</f>
        <v>Yes</v>
      </c>
      <c r="E250" s="34" t="str">
        <f>HYPERLINK("http://cgn.websites.wur.nl/website/pictures/Special_collection_CGNSC002/Adults/TKI 264 (2016-05-31).JPG","Yes")</f>
        <v>Yes</v>
      </c>
      <c r="F250" s="33"/>
      <c r="G250" s="33" t="str">
        <f>HYPERLINK("http://cgn.websites.wur.nl/website/pictures/Special_collection_CGNSC002/Seeds/TKI 264 (2017-01-25).JPG","Yes")</f>
        <v>Yes</v>
      </c>
      <c r="H250" s="1"/>
      <c r="I250" s="2" t="s">
        <v>600</v>
      </c>
      <c r="J250" s="15">
        <v>137</v>
      </c>
      <c r="K250" s="2"/>
      <c r="L250" s="2" t="s">
        <v>1877</v>
      </c>
      <c r="M250" s="2"/>
      <c r="N250" s="37" t="s">
        <v>2146</v>
      </c>
    </row>
    <row r="251" spans="1:14" x14ac:dyDescent="0.25">
      <c r="A251" s="6" t="s">
        <v>390</v>
      </c>
      <c r="B251" s="2" t="s">
        <v>591</v>
      </c>
      <c r="C251" s="2">
        <v>2016</v>
      </c>
      <c r="D251" s="32" t="str">
        <f>HYPERLINK("http://cgn.websites.wur.nl/website/pictures/Special_collection_CGNSC002/Juveniles/TKI 265 (2016-05-03).JPG","Yes")</f>
        <v>Yes</v>
      </c>
      <c r="E251" s="34" t="str">
        <f>HYPERLINK("http://cgn.websites.wur.nl/website/pictures/Special_collection_CGNSC002/Adults/TKI 265 (2016-05-31).JPG","Yes")</f>
        <v>Yes</v>
      </c>
      <c r="F251" s="33" t="str">
        <f>HYPERLINK("http://cgn.websites.wur.nl/website/pictures/Special_collection_CGNSC002/Flowers/TKI 265 (2016-08-08).JPG","Yes")</f>
        <v>Yes</v>
      </c>
      <c r="G251" s="33" t="str">
        <f>HYPERLINK("http://cgn.websites.wur.nl/website/pictures/Special_collection_CGNSC002/Seeds/TKI 265 (2017-01-25).JPG","Yes")</f>
        <v>Yes</v>
      </c>
      <c r="H251" s="1"/>
      <c r="I251" s="2" t="s">
        <v>600</v>
      </c>
      <c r="J251" s="15">
        <v>124</v>
      </c>
      <c r="K251" s="2"/>
      <c r="L251" s="2" t="s">
        <v>1877</v>
      </c>
      <c r="M251" s="2"/>
      <c r="N251" s="37" t="s">
        <v>2147</v>
      </c>
    </row>
    <row r="252" spans="1:14" x14ac:dyDescent="0.25">
      <c r="A252" s="6" t="s">
        <v>391</v>
      </c>
      <c r="B252" s="2" t="s">
        <v>591</v>
      </c>
      <c r="C252" s="2">
        <v>2016</v>
      </c>
      <c r="D252" s="32" t="str">
        <f>HYPERLINK("http://cgn.websites.wur.nl/website/pictures/Special_collection_CGNSC002/Juveniles/TKI 266 (2016-05-03).JPG","Yes")</f>
        <v>Yes</v>
      </c>
      <c r="E252" s="34" t="str">
        <f>HYPERLINK("http://cgn.websites.wur.nl/website/pictures/Special_collection_CGNSC002/Adults/TKI 266 (2016-05-31).JPG","Yes")</f>
        <v>Yes</v>
      </c>
      <c r="F252" s="33"/>
      <c r="G252" s="33" t="str">
        <f>HYPERLINK("http://cgn.websites.wur.nl/website/pictures/Special_collection_CGNSC002/Seeds/TKI 266 (2017-01-25).JPG","Yes")</f>
        <v>Yes</v>
      </c>
      <c r="H252" s="1"/>
      <c r="I252" s="2" t="s">
        <v>600</v>
      </c>
      <c r="J252" s="15">
        <v>153</v>
      </c>
      <c r="K252" s="2"/>
      <c r="L252" s="2" t="s">
        <v>1876</v>
      </c>
      <c r="M252" s="2" t="s">
        <v>1875</v>
      </c>
      <c r="N252" s="37" t="s">
        <v>2148</v>
      </c>
    </row>
    <row r="253" spans="1:14" x14ac:dyDescent="0.25">
      <c r="A253" s="6" t="s">
        <v>392</v>
      </c>
      <c r="B253" s="2" t="s">
        <v>591</v>
      </c>
      <c r="C253" s="2">
        <v>2016</v>
      </c>
      <c r="D253" s="32" t="str">
        <f>HYPERLINK("http://cgn.websites.wur.nl/website/pictures/Special_collection_CGNSC002/Juveniles/TKI 267 (2016-05-03).JPG","Yes")</f>
        <v>Yes</v>
      </c>
      <c r="E253" s="34" t="str">
        <f>HYPERLINK("http://cgn.websites.wur.nl/website/pictures/Special_collection_CGNSC002/Adults/TKI 267 (2016-05-31).JPG","Yes")</f>
        <v>Yes</v>
      </c>
      <c r="F253" s="33"/>
      <c r="G253" s="33" t="str">
        <f>HYPERLINK("http://cgn.websites.wur.nl/website/pictures/Special_collection_CGNSC002/Seeds/TKI 267 (2017-01-25).JPG","Yes")</f>
        <v>Yes</v>
      </c>
      <c r="H253" s="1"/>
      <c r="I253" s="2" t="s">
        <v>600</v>
      </c>
      <c r="J253" s="15">
        <v>144</v>
      </c>
      <c r="K253" s="2"/>
      <c r="L253" s="2" t="s">
        <v>1877</v>
      </c>
      <c r="M253" s="2"/>
      <c r="N253" s="37" t="s">
        <v>2149</v>
      </c>
    </row>
    <row r="254" spans="1:14" x14ac:dyDescent="0.25">
      <c r="A254" s="6" t="s">
        <v>393</v>
      </c>
      <c r="B254" s="2" t="s">
        <v>591</v>
      </c>
      <c r="C254" s="2">
        <v>2016</v>
      </c>
      <c r="D254" s="32" t="str">
        <f>HYPERLINK("http://cgn.websites.wur.nl/website/pictures/Special_collection_CGNSC002/Juveniles/TKI 268 (2016-05-03).JPG","Yes")</f>
        <v>Yes</v>
      </c>
      <c r="E254" s="34" t="str">
        <f>HYPERLINK("http://cgn.websites.wur.nl/website/pictures/Special_collection_CGNSC002/Adults/TKI 268 (2016-05-31).JPG","Yes")</f>
        <v>Yes</v>
      </c>
      <c r="F254" s="33" t="str">
        <f>HYPERLINK("http://cgn.websites.wur.nl/website/pictures/Special_collection_CGNSC002/Flowers/TKI 268 (2016-06-27).JPG","Yes")</f>
        <v>Yes</v>
      </c>
      <c r="G254" s="33" t="str">
        <f>HYPERLINK("http://cgn.websites.wur.nl/website/pictures/Special_collection_CGNSC002/Seeds/TKI 268 (2017-01-25).JPG","Yes")</f>
        <v>Yes</v>
      </c>
      <c r="H254" s="1"/>
      <c r="I254" s="2" t="s">
        <v>600</v>
      </c>
      <c r="J254" s="15">
        <v>137</v>
      </c>
      <c r="K254" s="2"/>
      <c r="L254" s="2" t="s">
        <v>1877</v>
      </c>
      <c r="M254" s="2"/>
      <c r="N254" s="37" t="s">
        <v>2150</v>
      </c>
    </row>
    <row r="255" spans="1:14" x14ac:dyDescent="0.25">
      <c r="A255" s="6" t="s">
        <v>394</v>
      </c>
      <c r="B255" s="2" t="s">
        <v>591</v>
      </c>
      <c r="C255" s="2">
        <v>2016</v>
      </c>
      <c r="D255" s="32" t="str">
        <f>HYPERLINK("http://cgn.websites.wur.nl/website/pictures/Special_collection_CGNSC002/Juveniles/TKI 269 (2016-05-03).JPG","Yes")</f>
        <v>Yes</v>
      </c>
      <c r="E255" s="34" t="str">
        <f>HYPERLINK("http://cgn.websites.wur.nl/website/pictures/Special_collection_CGNSC002/Adults/TKI 269 (2016-05-31).JPG","Yes")</f>
        <v>Yes</v>
      </c>
      <c r="F255" s="33" t="str">
        <f>HYPERLINK("http://cgn.websites.wur.nl/website/pictures/Special_collection_CGNSC002/Flowers/TKI 269 (2016-08-15).JPG","Yes")</f>
        <v>Yes</v>
      </c>
      <c r="G255" s="33" t="str">
        <f>HYPERLINK("http://cgn.websites.wur.nl/website/pictures/Special_collection_CGNSC002/Seeds/TKI 269 (2017-01-25).JPG","Yes")</f>
        <v>Yes</v>
      </c>
      <c r="H255" s="1"/>
      <c r="I255" s="2" t="s">
        <v>600</v>
      </c>
      <c r="J255" s="15">
        <v>153</v>
      </c>
      <c r="K255" s="2"/>
      <c r="L255" s="2" t="s">
        <v>1877</v>
      </c>
      <c r="M255" s="2"/>
      <c r="N255" s="37" t="s">
        <v>2151</v>
      </c>
    </row>
    <row r="256" spans="1:14" x14ac:dyDescent="0.25">
      <c r="A256" s="6" t="s">
        <v>395</v>
      </c>
      <c r="B256" s="2" t="s">
        <v>591</v>
      </c>
      <c r="C256" s="2">
        <v>2016</v>
      </c>
      <c r="D256" s="32" t="str">
        <f>HYPERLINK("http://cgn.websites.wur.nl/website/pictures/Special_collection_CGNSC002/Juveniles/TKI 270 (2016-05-03).JPG","Yes")</f>
        <v>Yes</v>
      </c>
      <c r="E256" s="34" t="str">
        <f>HYPERLINK("http://cgn.websites.wur.nl/website/pictures/Special_collection_CGNSC002/Adults/TKI 270 (2016-05-31).JPG","Yes")</f>
        <v>Yes</v>
      </c>
      <c r="F256" s="33"/>
      <c r="G256" s="33" t="str">
        <f>HYPERLINK("http://cgn.websites.wur.nl/website/pictures/Special_collection_CGNSC002/Seeds/TKI 270 (2017-01-25).JPG","Yes")</f>
        <v>Yes</v>
      </c>
      <c r="H256" s="1"/>
      <c r="I256" s="2" t="s">
        <v>600</v>
      </c>
      <c r="J256" s="15">
        <v>137</v>
      </c>
      <c r="K256" s="2"/>
      <c r="L256" s="2" t="s">
        <v>1877</v>
      </c>
      <c r="M256" s="2"/>
      <c r="N256" s="37" t="s">
        <v>2152</v>
      </c>
    </row>
    <row r="257" spans="1:14" x14ac:dyDescent="0.25">
      <c r="A257" s="6" t="s">
        <v>396</v>
      </c>
      <c r="B257" s="2" t="s">
        <v>591</v>
      </c>
      <c r="C257" s="2">
        <v>2016</v>
      </c>
      <c r="D257" s="32" t="str">
        <f>HYPERLINK("http://cgn.websites.wur.nl/website/pictures/Special_collection_CGNSC002/Juveniles/TKI 271 (2016-05-03).JPG","Yes")</f>
        <v>Yes</v>
      </c>
      <c r="E257" s="34" t="str">
        <f>HYPERLINK("http://cgn.websites.wur.nl/website/pictures/Special_collection_CGNSC002/Adults/TKI 271 (2016-05-31).JPG","Yes")</f>
        <v>Yes</v>
      </c>
      <c r="F257" s="33" t="str">
        <f>HYPERLINK("http://cgn.websites.wur.nl/website/pictures/Special_collection_CGNSC002/Flowers/TKI 271 (2016-06-27).JPG","Yes")</f>
        <v>Yes</v>
      </c>
      <c r="G257" s="33" t="str">
        <f>HYPERLINK("http://cgn.websites.wur.nl/website/pictures/Special_collection_CGNSC002/Seeds/TKI 271 (2017-01-25).JPG","Yes")</f>
        <v>Yes</v>
      </c>
      <c r="H257" s="1"/>
      <c r="I257" s="2" t="s">
        <v>599</v>
      </c>
      <c r="J257" s="15">
        <v>137</v>
      </c>
      <c r="K257" s="2"/>
      <c r="L257" s="2" t="s">
        <v>1877</v>
      </c>
      <c r="M257" s="2"/>
      <c r="N257" s="37" t="s">
        <v>2153</v>
      </c>
    </row>
    <row r="258" spans="1:14" x14ac:dyDescent="0.25">
      <c r="A258" s="6" t="s">
        <v>397</v>
      </c>
      <c r="B258" s="2" t="s">
        <v>591</v>
      </c>
      <c r="C258" s="2">
        <v>2016</v>
      </c>
      <c r="D258" s="32" t="str">
        <f>HYPERLINK("http://cgn.websites.wur.nl/website/pictures/Special_collection_CGNSC002/Juveniles/TKI 272 (2016-05-03).JPG","Yes")</f>
        <v>Yes</v>
      </c>
      <c r="E258" s="34" t="str">
        <f>HYPERLINK("http://cgn.websites.wur.nl/website/pictures/Special_collection_CGNSC002/Adults/TKI 272 (2016-05-31).JPG","Yes")</f>
        <v>Yes</v>
      </c>
      <c r="F258" s="33"/>
      <c r="G258" s="33" t="str">
        <f>HYPERLINK("http://cgn.websites.wur.nl/website/pictures/Special_collection_CGNSC002/Seeds/TKI 272 (2017-01-25).JPG","Yes")</f>
        <v>Yes</v>
      </c>
      <c r="H258" s="1"/>
      <c r="I258" s="2" t="s">
        <v>600</v>
      </c>
      <c r="J258" s="15">
        <v>144</v>
      </c>
      <c r="K258" s="2"/>
      <c r="L258" s="2" t="s">
        <v>1877</v>
      </c>
      <c r="M258" s="2"/>
      <c r="N258" s="37" t="s">
        <v>2154</v>
      </c>
    </row>
    <row r="259" spans="1:14" x14ac:dyDescent="0.25">
      <c r="A259" s="6" t="s">
        <v>398</v>
      </c>
      <c r="B259" s="2" t="s">
        <v>591</v>
      </c>
      <c r="C259" s="2">
        <v>2016</v>
      </c>
      <c r="D259" s="32" t="str">
        <f>HYPERLINK("http://cgn.websites.wur.nl/website/pictures/Special_collection_CGNSC002/Juveniles/TKI 273 (2016-05-03).JPG","Yes")</f>
        <v>Yes</v>
      </c>
      <c r="E259" s="34" t="str">
        <f>HYPERLINK("http://cgn.websites.wur.nl/website/pictures/Special_collection_CGNSC002/Adults/TKI 273 (2016-05-31).JPG","Yes")</f>
        <v>Yes</v>
      </c>
      <c r="F259" s="33"/>
      <c r="G259" s="33" t="str">
        <f>HYPERLINK("http://cgn.websites.wur.nl/website/pictures/Special_collection_CGNSC002/Seeds/TKI 273 (2017-01-25).JPG","Yes")</f>
        <v>Yes</v>
      </c>
      <c r="H259" s="1"/>
      <c r="I259" s="2" t="s">
        <v>600</v>
      </c>
      <c r="J259" s="15">
        <v>137</v>
      </c>
      <c r="K259" s="2"/>
      <c r="L259" s="2" t="s">
        <v>1877</v>
      </c>
      <c r="M259" s="2"/>
      <c r="N259" s="37" t="s">
        <v>2155</v>
      </c>
    </row>
    <row r="260" spans="1:14" x14ac:dyDescent="0.25">
      <c r="A260" s="6" t="s">
        <v>399</v>
      </c>
      <c r="B260" s="2" t="s">
        <v>591</v>
      </c>
      <c r="C260" s="2">
        <v>2016</v>
      </c>
      <c r="D260" s="32" t="str">
        <f>HYPERLINK("http://cgn.websites.wur.nl/website/pictures/Special_collection_CGNSC002/Juveniles/TKI 274 (2016-05-03).JPG","Yes")</f>
        <v>Yes</v>
      </c>
      <c r="E260" s="34" t="str">
        <f>HYPERLINK("http://cgn.websites.wur.nl/website/pictures/Special_collection_CGNSC002/Adults/TKI 274 (2016-05-31).JPG","Yes")</f>
        <v>Yes</v>
      </c>
      <c r="F260" s="33" t="str">
        <f>HYPERLINK("http://cgn.websites.wur.nl/website/pictures/Special_collection_CGNSC002/Flowers/TKI 274 (2016-08-15).JPG","Yes")</f>
        <v>Yes</v>
      </c>
      <c r="G260" s="33" t="str">
        <f>HYPERLINK("http://cgn.websites.wur.nl/website/pictures/Special_collection_CGNSC002/Seeds/TKI 274 (2017-01-25).JPG","Yes")</f>
        <v>Yes</v>
      </c>
      <c r="H260" s="1"/>
      <c r="I260" s="2" t="s">
        <v>600</v>
      </c>
      <c r="J260" s="15">
        <v>153</v>
      </c>
      <c r="K260" s="2"/>
      <c r="L260" s="2" t="s">
        <v>1877</v>
      </c>
      <c r="M260" s="2"/>
      <c r="N260" s="37" t="s">
        <v>2156</v>
      </c>
    </row>
    <row r="261" spans="1:14" x14ac:dyDescent="0.25">
      <c r="A261" s="6" t="s">
        <v>400</v>
      </c>
      <c r="B261" s="2" t="s">
        <v>591</v>
      </c>
      <c r="C261" s="2">
        <v>2016</v>
      </c>
      <c r="D261" s="32" t="str">
        <f>HYPERLINK("http://cgn.websites.wur.nl/website/pictures/Special_collection_CGNSC002/Juveniles/TKI 275 (2016-05-03).JPG","Yes")</f>
        <v>Yes</v>
      </c>
      <c r="E261" s="34" t="str">
        <f>HYPERLINK("http://cgn.websites.wur.nl/website/pictures/Special_collection_CGNSC002/Adults/TKI 275 (2016-05-31).JPG","Yes")</f>
        <v>Yes</v>
      </c>
      <c r="F261" s="33" t="str">
        <f>HYPERLINK("http://cgn.websites.wur.nl/website/pictures/Special_collection_CGNSC002/Flowers/TKI 275 (2016-08-08).JPG","Yes")</f>
        <v>Yes</v>
      </c>
      <c r="G261" s="33" t="str">
        <f>HYPERLINK("http://cgn.websites.wur.nl/website/pictures/Special_collection_CGNSC002/Seeds/TKI 275 (2017-01-25).JPG","Yes")</f>
        <v>Yes</v>
      </c>
      <c r="H261" s="1"/>
      <c r="I261" s="2" t="s">
        <v>599</v>
      </c>
      <c r="J261" s="15">
        <v>153</v>
      </c>
      <c r="K261" s="2"/>
      <c r="L261" s="2" t="s">
        <v>1876</v>
      </c>
      <c r="M261" s="2" t="s">
        <v>1875</v>
      </c>
      <c r="N261" s="37" t="s">
        <v>2157</v>
      </c>
    </row>
    <row r="262" spans="1:14" x14ac:dyDescent="0.25">
      <c r="A262" s="6" t="s">
        <v>401</v>
      </c>
      <c r="B262" s="2" t="s">
        <v>591</v>
      </c>
      <c r="C262" s="2">
        <v>2016</v>
      </c>
      <c r="D262" s="32" t="str">
        <f>HYPERLINK("http://cgn.websites.wur.nl/website/pictures/Special_collection_CGNSC002/Juveniles/TKI 276 (2016-05-03).JPG","Yes")</f>
        <v>Yes</v>
      </c>
      <c r="E262" s="34" t="str">
        <f>HYPERLINK("http://cgn.websites.wur.nl/website/pictures/Special_collection_CGNSC002/Adults/TKI 276 (2016-05-31).JPG","Yes")</f>
        <v>Yes</v>
      </c>
      <c r="F262" s="33"/>
      <c r="G262" s="33" t="str">
        <f>HYPERLINK("http://cgn.websites.wur.nl/website/pictures/Special_collection_CGNSC002/Seeds/TKI 276 (2017-01-25).JPG","Yes")</f>
        <v>Yes</v>
      </c>
      <c r="H262" s="1"/>
      <c r="I262" s="2" t="s">
        <v>600</v>
      </c>
      <c r="J262" s="15">
        <v>158</v>
      </c>
      <c r="K262" s="2"/>
      <c r="L262" s="2" t="s">
        <v>1877</v>
      </c>
      <c r="M262" s="2"/>
      <c r="N262" s="37" t="s">
        <v>2158</v>
      </c>
    </row>
    <row r="263" spans="1:14" x14ac:dyDescent="0.25">
      <c r="A263" s="6" t="s">
        <v>402</v>
      </c>
      <c r="B263" s="2" t="s">
        <v>591</v>
      </c>
      <c r="C263" s="2">
        <v>2016</v>
      </c>
      <c r="D263" s="32" t="str">
        <f>HYPERLINK("http://cgn.websites.wur.nl/website/pictures/Special_collection_CGNSC002/Juveniles/TKI 277 (2016-05-03).JPG","Yes")</f>
        <v>Yes</v>
      </c>
      <c r="E263" s="34" t="str">
        <f>HYPERLINK("http://cgn.websites.wur.nl/website/pictures/Special_collection_CGNSC002/Adults/TKI 277 (2016-05-31).JPG","Yes")</f>
        <v>Yes</v>
      </c>
      <c r="F263" s="33" t="str">
        <f>HYPERLINK("http://cgn.websites.wur.nl/website/pictures/Special_collection_CGNSC002/Flowers/TKI 277 (2016-08-15).JPG","Yes")</f>
        <v>Yes</v>
      </c>
      <c r="G263" s="33" t="str">
        <f>HYPERLINK("http://cgn.websites.wur.nl/website/pictures/Special_collection_CGNSC002/Seeds/TKI 277 (2017-01-25).JPG","Yes")</f>
        <v>Yes</v>
      </c>
      <c r="H263" s="1"/>
      <c r="I263" s="2" t="s">
        <v>600</v>
      </c>
      <c r="J263" s="15">
        <v>166</v>
      </c>
      <c r="K263" s="2"/>
      <c r="L263" s="2" t="s">
        <v>1877</v>
      </c>
      <c r="M263" s="2"/>
      <c r="N263" s="37" t="s">
        <v>2159</v>
      </c>
    </row>
    <row r="264" spans="1:14" x14ac:dyDescent="0.25">
      <c r="A264" s="6" t="s">
        <v>403</v>
      </c>
      <c r="B264" s="2" t="s">
        <v>591</v>
      </c>
      <c r="C264" s="2">
        <v>2016</v>
      </c>
      <c r="D264" s="32" t="str">
        <f>HYPERLINK("http://cgn.websites.wur.nl/website/pictures/Special_collection_CGNSC002/Juveniles/TKI 278 (2016-05-03).JPG","Yes")</f>
        <v>Yes</v>
      </c>
      <c r="E264" s="34" t="str">
        <f>HYPERLINK("http://cgn.websites.wur.nl/website/pictures/Special_collection_CGNSC002/Adults/TKI 278 (2016-05-31).JPG","Yes")</f>
        <v>Yes</v>
      </c>
      <c r="F264" s="33"/>
      <c r="G264" s="33" t="str">
        <f>HYPERLINK("http://cgn.websites.wur.nl/website/pictures/Special_collection_CGNSC002/Seeds/TKI 278 (2017-01-25).JPG","Yes")</f>
        <v>Yes</v>
      </c>
      <c r="H264" s="1"/>
      <c r="I264" s="2" t="s">
        <v>600</v>
      </c>
      <c r="J264" s="15">
        <v>153</v>
      </c>
      <c r="K264" s="2"/>
      <c r="L264" s="2" t="s">
        <v>1877</v>
      </c>
      <c r="M264" s="2"/>
      <c r="N264" s="37" t="s">
        <v>2160</v>
      </c>
    </row>
    <row r="265" spans="1:14" x14ac:dyDescent="0.25">
      <c r="A265" s="6" t="s">
        <v>404</v>
      </c>
      <c r="B265" s="2" t="s">
        <v>591</v>
      </c>
      <c r="C265" s="2">
        <v>2016</v>
      </c>
      <c r="D265" s="32" t="str">
        <f>HYPERLINK("http://cgn.websites.wur.nl/website/pictures/Special_collection_CGNSC002/Juveniles/TKI 279 (2016-05-03).JPG","Yes")</f>
        <v>Yes</v>
      </c>
      <c r="E265" s="34" t="str">
        <f>HYPERLINK("http://cgn.websites.wur.nl/website/pictures/Special_collection_CGNSC002/Adults/TKI 279 (2016-05-31).JPG","Yes")</f>
        <v>Yes</v>
      </c>
      <c r="F265" s="33"/>
      <c r="G265" s="33" t="str">
        <f>HYPERLINK("http://cgn.websites.wur.nl/website/pictures/Special_collection_CGNSC002/Seeds/TKI 279 (2017-01-25).JPG","Yes")</f>
        <v>Yes</v>
      </c>
      <c r="H265" s="1"/>
      <c r="I265" s="2" t="s">
        <v>600</v>
      </c>
      <c r="J265" s="15">
        <v>153</v>
      </c>
      <c r="K265" s="2"/>
      <c r="L265" s="2" t="s">
        <v>1877</v>
      </c>
      <c r="M265" s="2"/>
      <c r="N265" s="37" t="s">
        <v>2161</v>
      </c>
    </row>
    <row r="266" spans="1:14" x14ac:dyDescent="0.25">
      <c r="A266" s="6" t="s">
        <v>405</v>
      </c>
      <c r="B266" s="2" t="s">
        <v>591</v>
      </c>
      <c r="C266" s="2">
        <v>2016</v>
      </c>
      <c r="D266" s="32" t="str">
        <f>HYPERLINK("http://cgn.websites.wur.nl/website/pictures/Special_collection_CGNSC002/Juveniles/TKI 280 (2016-05-03).JPG","Yes")</f>
        <v>Yes</v>
      </c>
      <c r="E266" s="34" t="str">
        <f>HYPERLINK("http://cgn.websites.wur.nl/website/pictures/Special_collection_CGNSC002/Adults/TKI 280 (2016-05-31).JPG","Yes")</f>
        <v>Yes</v>
      </c>
      <c r="F266" s="33"/>
      <c r="G266" s="33" t="str">
        <f>HYPERLINK("http://cgn.websites.wur.nl/website/pictures/Special_collection_CGNSC002/Seeds/TKI 280 (2017-01-25).JPG","Yes")</f>
        <v>Yes</v>
      </c>
      <c r="H266" s="1"/>
      <c r="I266" s="2" t="s">
        <v>600</v>
      </c>
      <c r="J266" s="15">
        <v>153</v>
      </c>
      <c r="K266" s="2"/>
      <c r="L266" s="2" t="s">
        <v>1877</v>
      </c>
      <c r="M266" s="2"/>
      <c r="N266" s="37" t="s">
        <v>2162</v>
      </c>
    </row>
    <row r="267" spans="1:14" x14ac:dyDescent="0.25">
      <c r="A267" s="6" t="s">
        <v>406</v>
      </c>
      <c r="B267" s="2" t="s">
        <v>591</v>
      </c>
      <c r="C267" s="2">
        <v>2016</v>
      </c>
      <c r="D267" s="32" t="str">
        <f>HYPERLINK("http://cgn.websites.wur.nl/website/pictures/Special_collection_CGNSC002/Juveniles/TKI 281 (2016-05-03).JPG","Yes")</f>
        <v>Yes</v>
      </c>
      <c r="E267" s="34" t="str">
        <f>HYPERLINK("http://cgn.websites.wur.nl/website/pictures/Special_collection_CGNSC002/Adults/TKI 281 (2016-05-31).JPG","Yes")</f>
        <v>Yes</v>
      </c>
      <c r="F267" s="33"/>
      <c r="G267" s="33" t="str">
        <f>HYPERLINK("http://cgn.websites.wur.nl/website/pictures/Special_collection_CGNSC002/Seeds/TKI 281 (2017-01-25).JPG","Yes")</f>
        <v>Yes</v>
      </c>
      <c r="H267" s="1"/>
      <c r="I267" s="2" t="s">
        <v>600</v>
      </c>
      <c r="J267" s="15">
        <v>137</v>
      </c>
      <c r="K267" s="2"/>
      <c r="L267" s="2" t="s">
        <v>1877</v>
      </c>
      <c r="M267" s="2"/>
      <c r="N267" s="37" t="s">
        <v>2163</v>
      </c>
    </row>
    <row r="268" spans="1:14" x14ac:dyDescent="0.25">
      <c r="A268" s="6" t="s">
        <v>407</v>
      </c>
      <c r="B268" s="2" t="s">
        <v>591</v>
      </c>
      <c r="C268" s="2">
        <v>2016</v>
      </c>
      <c r="D268" s="32" t="str">
        <f>HYPERLINK("http://cgn.websites.wur.nl/website/pictures/Special_collection_CGNSC002/Juveniles/TKI 282 (2016-05-03).JPG","Yes")</f>
        <v>Yes</v>
      </c>
      <c r="E268" s="34" t="str">
        <f>HYPERLINK("http://cgn.websites.wur.nl/website/pictures/Special_collection_CGNSC002/Adults/TKI 282 (2016-05-31).JPG","Yes")</f>
        <v>Yes</v>
      </c>
      <c r="F268" s="33"/>
      <c r="G268" s="33" t="str">
        <f>HYPERLINK("http://cgn.websites.wur.nl/website/pictures/Special_collection_CGNSC002/Seeds/TKI 282 (2017-01-25).JPG","Yes")</f>
        <v>Yes</v>
      </c>
      <c r="H268" s="1"/>
      <c r="I268" s="2" t="s">
        <v>599</v>
      </c>
      <c r="J268" s="15">
        <v>144</v>
      </c>
      <c r="K268" s="2"/>
      <c r="L268" s="2" t="s">
        <v>1877</v>
      </c>
      <c r="M268" s="2"/>
      <c r="N268" s="37" t="s">
        <v>2164</v>
      </c>
    </row>
    <row r="269" spans="1:14" x14ac:dyDescent="0.25">
      <c r="A269" s="6" t="s">
        <v>408</v>
      </c>
      <c r="B269" s="2" t="s">
        <v>591</v>
      </c>
      <c r="C269" s="2">
        <v>2016</v>
      </c>
      <c r="D269" s="32" t="str">
        <f>HYPERLINK("http://cgn.websites.wur.nl/website/pictures/Special_collection_CGNSC002/Juveniles/TKI 283 (2016-05-03).JPG","Yes")</f>
        <v>Yes</v>
      </c>
      <c r="E269" s="34" t="str">
        <f>HYPERLINK("http://cgn.websites.wur.nl/website/pictures/Special_collection_CGNSC002/Adults/TKI 283 (2016-05-31).JPG","Yes")</f>
        <v>Yes</v>
      </c>
      <c r="F269" s="33"/>
      <c r="G269" s="33" t="str">
        <f>HYPERLINK("http://cgn.websites.wur.nl/website/pictures/Special_collection_CGNSC002/Seeds/TKI 283 (2017-01-25).JPG","Yes")</f>
        <v>Yes</v>
      </c>
      <c r="H269" s="1"/>
      <c r="I269" s="2" t="s">
        <v>600</v>
      </c>
      <c r="J269" s="15">
        <v>158</v>
      </c>
      <c r="K269" s="2"/>
      <c r="L269" s="2" t="s">
        <v>1877</v>
      </c>
      <c r="M269" s="2"/>
      <c r="N269" s="37" t="s">
        <v>2165</v>
      </c>
    </row>
    <row r="270" spans="1:14" x14ac:dyDescent="0.25">
      <c r="A270" s="6" t="s">
        <v>409</v>
      </c>
      <c r="B270" s="2" t="s">
        <v>591</v>
      </c>
      <c r="C270" s="2">
        <v>2016</v>
      </c>
      <c r="D270" s="32" t="str">
        <f>HYPERLINK("http://cgn.websites.wur.nl/website/pictures/Special_collection_CGNSC002/Juveniles/TKI 284 (2016-05-03).JPG","Yes")</f>
        <v>Yes</v>
      </c>
      <c r="E270" s="34" t="str">
        <f>HYPERLINK("http://cgn.websites.wur.nl/website/pictures/Special_collection_CGNSC002/Adults/TKI 284 (2016-05-31).JPG","Yes")</f>
        <v>Yes</v>
      </c>
      <c r="F270" s="33" t="str">
        <f>HYPERLINK("http://cgn.websites.wur.nl/website/pictures/Special_collection_CGNSC002/Flowers/TKI 284 (2016-08-15).JPG","Yes")</f>
        <v>Yes</v>
      </c>
      <c r="G270" s="33" t="str">
        <f>HYPERLINK("http://cgn.websites.wur.nl/website/pictures/Special_collection_CGNSC002/Seeds/TKI 284 (2017-01-25).JPG","Yes")</f>
        <v>Yes</v>
      </c>
      <c r="H270" s="1"/>
      <c r="I270" s="2" t="s">
        <v>600</v>
      </c>
      <c r="J270" s="15">
        <v>166</v>
      </c>
      <c r="K270" s="2"/>
      <c r="L270" s="2" t="s">
        <v>1877</v>
      </c>
      <c r="M270" s="2"/>
      <c r="N270" s="37" t="s">
        <v>2166</v>
      </c>
    </row>
    <row r="271" spans="1:14" x14ac:dyDescent="0.25">
      <c r="A271" s="6" t="s">
        <v>410</v>
      </c>
      <c r="B271" s="2" t="s">
        <v>591</v>
      </c>
      <c r="C271" s="2">
        <v>2016</v>
      </c>
      <c r="D271" s="32" t="str">
        <f>HYPERLINK("http://cgn.websites.wur.nl/website/pictures/Special_collection_CGNSC002/Juveniles/TKI 285 (2016-05-03).JPG","Yes")</f>
        <v>Yes</v>
      </c>
      <c r="E271" s="34" t="str">
        <f>HYPERLINK("http://cgn.websites.wur.nl/website/pictures/Special_collection_CGNSC002/Adults/TKI 285 (2016-05-31).JPG","Yes")</f>
        <v>Yes</v>
      </c>
      <c r="F271" s="33"/>
      <c r="G271" s="33" t="str">
        <f>HYPERLINK("http://cgn.websites.wur.nl/website/pictures/Special_collection_CGNSC002/Seeds/TKI 285 (2017-01-25).JPG","Yes")</f>
        <v>Yes</v>
      </c>
      <c r="H271" s="1"/>
      <c r="I271" s="2" t="s">
        <v>600</v>
      </c>
      <c r="J271" s="15">
        <v>144</v>
      </c>
      <c r="K271" s="2"/>
      <c r="L271" s="2" t="s">
        <v>1877</v>
      </c>
      <c r="M271" s="2"/>
      <c r="N271" s="37" t="s">
        <v>2167</v>
      </c>
    </row>
    <row r="272" spans="1:14" x14ac:dyDescent="0.25">
      <c r="A272" s="6" t="s">
        <v>411</v>
      </c>
      <c r="B272" s="2" t="s">
        <v>591</v>
      </c>
      <c r="C272" s="2">
        <v>2016</v>
      </c>
      <c r="D272" s="32" t="str">
        <f>HYPERLINK("http://cgn.websites.wur.nl/website/pictures/Special_collection_CGNSC002/Juveniles/TKI 286 (2016-05-03).JPG","Yes")</f>
        <v>Yes</v>
      </c>
      <c r="E272" s="34" t="str">
        <f>HYPERLINK("http://cgn.websites.wur.nl/website/pictures/Special_collection_CGNSC002/Adults/TKI 286 (2016-05-31).JPG","Yes")</f>
        <v>Yes</v>
      </c>
      <c r="F272" s="33"/>
      <c r="G272" s="33" t="str">
        <f>HYPERLINK("http://cgn.websites.wur.nl/website/pictures/Special_collection_CGNSC002/Seeds/TKI 286 (2017-01-25).JPG","Yes")</f>
        <v>Yes</v>
      </c>
      <c r="H272" s="1"/>
      <c r="I272" s="2" t="s">
        <v>600</v>
      </c>
      <c r="J272" s="15">
        <v>137</v>
      </c>
      <c r="K272" s="2"/>
      <c r="L272" s="2" t="s">
        <v>1876</v>
      </c>
      <c r="M272" s="2" t="s">
        <v>1875</v>
      </c>
      <c r="N272" s="37" t="s">
        <v>2168</v>
      </c>
    </row>
    <row r="273" spans="1:14" x14ac:dyDescent="0.25">
      <c r="A273" s="6" t="s">
        <v>412</v>
      </c>
      <c r="B273" s="2" t="s">
        <v>591</v>
      </c>
      <c r="C273" s="2">
        <v>2016</v>
      </c>
      <c r="D273" s="32" t="str">
        <f>HYPERLINK("http://cgn.websites.wur.nl/website/pictures/Special_collection_CGNSC002/Juveniles/TKI 287 (2016-05-03).JPG","Yes")</f>
        <v>Yes</v>
      </c>
      <c r="E273" s="34" t="str">
        <f>HYPERLINK("http://cgn.websites.wur.nl/website/pictures/Special_collection_CGNSC002/Adults/TKI 287 (2016-05-31).JPG","Yes")</f>
        <v>Yes</v>
      </c>
      <c r="F273" s="33"/>
      <c r="G273" s="33" t="str">
        <f>HYPERLINK("http://cgn.websites.wur.nl/website/pictures/Special_collection_CGNSC002/Seeds/TKI 287 (2017-01-25).JPG","Yes")</f>
        <v>Yes</v>
      </c>
      <c r="H273" s="1"/>
      <c r="I273" s="2" t="s">
        <v>600</v>
      </c>
      <c r="J273" s="15">
        <v>137</v>
      </c>
      <c r="K273" s="2"/>
      <c r="L273" s="2" t="s">
        <v>1877</v>
      </c>
      <c r="M273" s="2"/>
      <c r="N273" s="37" t="s">
        <v>2169</v>
      </c>
    </row>
    <row r="274" spans="1:14" x14ac:dyDescent="0.25">
      <c r="A274" s="6" t="s">
        <v>413</v>
      </c>
      <c r="B274" s="2" t="s">
        <v>591</v>
      </c>
      <c r="C274" s="2">
        <v>2016</v>
      </c>
      <c r="D274" s="32" t="str">
        <f>HYPERLINK("http://cgn.websites.wur.nl/website/pictures/Special_collection_CGNSC002/Juveniles/TKI 288 (2016-05-03).JPG","Yes")</f>
        <v>Yes</v>
      </c>
      <c r="E274" s="34" t="str">
        <f>HYPERLINK("http://cgn.websites.wur.nl/website/pictures/Special_collection_CGNSC002/Adults/TKI 288 (2016-05-31).JPG","Yes")</f>
        <v>Yes</v>
      </c>
      <c r="F274" s="33" t="str">
        <f>HYPERLINK("http://cgn.websites.wur.nl/website/pictures/Special_collection_CGNSC002/Flowers/TKI 288 (2016-08-08).JPG","Yes")</f>
        <v>Yes</v>
      </c>
      <c r="G274" s="33" t="str">
        <f>HYPERLINK("http://cgn.websites.wur.nl/website/pictures/Special_collection_CGNSC002/Seeds/TKI 288 (2017-01-25).JPG","Yes")</f>
        <v>Yes</v>
      </c>
      <c r="H274" s="1"/>
      <c r="I274" s="2" t="s">
        <v>600</v>
      </c>
      <c r="J274" s="15">
        <v>153</v>
      </c>
      <c r="K274" s="2"/>
      <c r="L274" s="2" t="s">
        <v>1877</v>
      </c>
      <c r="M274" s="2"/>
      <c r="N274" s="37" t="s">
        <v>2170</v>
      </c>
    </row>
    <row r="275" spans="1:14" x14ac:dyDescent="0.25">
      <c r="A275" s="6" t="s">
        <v>414</v>
      </c>
      <c r="B275" s="2" t="s">
        <v>591</v>
      </c>
      <c r="C275" s="2">
        <v>2016</v>
      </c>
      <c r="D275" s="32" t="str">
        <f>HYPERLINK("http://cgn.websites.wur.nl/website/pictures/Special_collection_CGNSC002/Juveniles/TKI 289 (2016-05-03).JPG","Yes")</f>
        <v>Yes</v>
      </c>
      <c r="E275" s="34" t="str">
        <f>HYPERLINK("http://cgn.websites.wur.nl/website/pictures/Special_collection_CGNSC002/Adults/TKI 289 (2016-05-31).JPG","Yes")</f>
        <v>Yes</v>
      </c>
      <c r="F275" s="33"/>
      <c r="G275" s="33" t="str">
        <f>HYPERLINK("http://cgn.websites.wur.nl/website/pictures/Special_collection_CGNSC002/Seeds/TKI 289 (2017-01-25).JPG","Yes")</f>
        <v>Yes</v>
      </c>
      <c r="H275" s="1"/>
      <c r="I275" s="2" t="s">
        <v>600</v>
      </c>
      <c r="J275" s="15">
        <v>172</v>
      </c>
      <c r="K275" s="2"/>
      <c r="L275" s="2" t="s">
        <v>1877</v>
      </c>
      <c r="M275" s="2"/>
      <c r="N275" s="37" t="s">
        <v>2171</v>
      </c>
    </row>
    <row r="276" spans="1:14" x14ac:dyDescent="0.25">
      <c r="A276" s="6" t="s">
        <v>415</v>
      </c>
      <c r="B276" s="2" t="s">
        <v>591</v>
      </c>
      <c r="C276" s="2">
        <v>2016</v>
      </c>
      <c r="D276" s="32" t="str">
        <f>HYPERLINK("http://cgn.websites.wur.nl/website/pictures/Special_collection_CGNSC002/Juveniles/TKI 290 (2016-05-03).JPG","Yes")</f>
        <v>Yes</v>
      </c>
      <c r="E276" s="34" t="str">
        <f>HYPERLINK("http://cgn.websites.wur.nl/website/pictures/Special_collection_CGNSC002/Adults/TKI 290 (2016-05-31).JPG","Yes")</f>
        <v>Yes</v>
      </c>
      <c r="F276" s="33"/>
      <c r="G276" s="33" t="str">
        <f>HYPERLINK("http://cgn.websites.wur.nl/website/pictures/Special_collection_CGNSC002/Seeds/TKI 290 (2017-01-25).JPG","Yes")</f>
        <v>Yes</v>
      </c>
      <c r="H276" s="1"/>
      <c r="I276" s="2" t="s">
        <v>600</v>
      </c>
      <c r="J276" s="15">
        <v>137</v>
      </c>
      <c r="K276" s="2"/>
      <c r="L276" s="2" t="s">
        <v>1877</v>
      </c>
      <c r="M276" s="2"/>
      <c r="N276" s="37" t="s">
        <v>2172</v>
      </c>
    </row>
    <row r="277" spans="1:14" x14ac:dyDescent="0.25">
      <c r="A277" s="6" t="s">
        <v>416</v>
      </c>
      <c r="B277" s="2" t="s">
        <v>591</v>
      </c>
      <c r="C277" s="2">
        <v>2016</v>
      </c>
      <c r="D277" s="32" t="str">
        <f>HYPERLINK("http://cgn.websites.wur.nl/website/pictures/Special_collection_CGNSC002/Juveniles/TKI 291 (2016-05-03).JPG","Yes")</f>
        <v>Yes</v>
      </c>
      <c r="E277" s="34" t="str">
        <f>HYPERLINK("http://cgn.websites.wur.nl/website/pictures/Special_collection_CGNSC002/Adults/TKI 291 (2016-05-31).JPG","Yes")</f>
        <v>Yes</v>
      </c>
      <c r="F277" s="33" t="str">
        <f>HYPERLINK("http://cgn.websites.wur.nl/website/pictures/Special_collection_CGNSC002/Flowers/TKI 291 (2016-08-01).JPG","Yes")</f>
        <v>Yes</v>
      </c>
      <c r="G277" s="33" t="str">
        <f>HYPERLINK("http://cgn.websites.wur.nl/website/pictures/Special_collection_CGNSC002/Seeds/TKI 291 (2017-01-25).JPG","Yes")</f>
        <v>Yes</v>
      </c>
      <c r="H277" s="1"/>
      <c r="I277" s="2" t="s">
        <v>600</v>
      </c>
      <c r="J277" s="15">
        <v>137</v>
      </c>
      <c r="K277" s="2"/>
      <c r="L277" s="2" t="s">
        <v>1877</v>
      </c>
      <c r="M277" s="2"/>
      <c r="N277" s="37" t="s">
        <v>2173</v>
      </c>
    </row>
    <row r="278" spans="1:14" x14ac:dyDescent="0.25">
      <c r="A278" s="6" t="s">
        <v>417</v>
      </c>
      <c r="B278" s="2" t="s">
        <v>591</v>
      </c>
      <c r="C278" s="2">
        <v>2016</v>
      </c>
      <c r="D278" s="32" t="str">
        <f>HYPERLINK("http://cgn.websites.wur.nl/website/pictures/Special_collection_CGNSC002/Juveniles/TKI 292 (2016-05-03).JPG","Yes")</f>
        <v>Yes</v>
      </c>
      <c r="E278" s="34" t="str">
        <f>HYPERLINK("http://cgn.websites.wur.nl/website/pictures/Special_collection_CGNSC002/Adults/TKI 292 (2016-05-31).JPG","Yes")</f>
        <v>Yes</v>
      </c>
      <c r="F278" s="33" t="str">
        <f>HYPERLINK("http://cgn.websites.wur.nl/website/pictures/Special_collection_CGNSC002/Flowers/TKI 292 (2016-07-28).JPG","Yes")</f>
        <v>Yes</v>
      </c>
      <c r="G278" s="33" t="str">
        <f>HYPERLINK("http://cgn.websites.wur.nl/website/pictures/Special_collection_CGNSC002/Seeds/TKI 292 (2017-01-25).JPG","Yes")</f>
        <v>Yes</v>
      </c>
      <c r="H278" s="1"/>
      <c r="I278" s="2" t="s">
        <v>599</v>
      </c>
      <c r="J278" s="15">
        <v>137</v>
      </c>
      <c r="K278" s="2"/>
      <c r="L278" s="2" t="s">
        <v>1877</v>
      </c>
      <c r="M278" s="2"/>
      <c r="N278" s="37" t="s">
        <v>2174</v>
      </c>
    </row>
    <row r="279" spans="1:14" x14ac:dyDescent="0.25">
      <c r="A279" s="6" t="s">
        <v>418</v>
      </c>
      <c r="B279" s="2" t="s">
        <v>591</v>
      </c>
      <c r="C279" s="2">
        <v>2016</v>
      </c>
      <c r="D279" s="32" t="str">
        <f>HYPERLINK("http://cgn.websites.wur.nl/website/pictures/Special_collection_CGNSC002/Juveniles/TKI 293 (2016-05-03).JPG","Yes")</f>
        <v>Yes</v>
      </c>
      <c r="E279" s="34" t="str">
        <f>HYPERLINK("http://cgn.websites.wur.nl/website/pictures/Special_collection_CGNSC002/Adults/TKI 293 (2016-05-31).JPG","Yes")</f>
        <v>Yes</v>
      </c>
      <c r="F279" s="33" t="str">
        <f>HYPERLINK("http://cgn.websites.wur.nl/website/pictures/Special_collection_CGNSC002/Flowers/TKI 293 (2016-08-08).JPG","Yes")</f>
        <v>Yes</v>
      </c>
      <c r="G279" s="33" t="str">
        <f>HYPERLINK("http://cgn.websites.wur.nl/website/pictures/Special_collection_CGNSC002/Seeds/TKI 293 (2017-01-25).JPG","Yes")</f>
        <v>Yes</v>
      </c>
      <c r="H279" s="1"/>
      <c r="I279" s="2" t="s">
        <v>600</v>
      </c>
      <c r="J279" s="15">
        <v>153</v>
      </c>
      <c r="K279" s="2"/>
      <c r="L279" s="2" t="s">
        <v>1877</v>
      </c>
      <c r="M279" s="2"/>
      <c r="N279" s="37" t="s">
        <v>2175</v>
      </c>
    </row>
    <row r="280" spans="1:14" x14ac:dyDescent="0.25">
      <c r="A280" s="6" t="s">
        <v>419</v>
      </c>
      <c r="B280" s="2" t="s">
        <v>591</v>
      </c>
      <c r="C280" s="2">
        <v>2016</v>
      </c>
      <c r="D280" s="32" t="str">
        <f>HYPERLINK("http://cgn.websites.wur.nl/website/pictures/Special_collection_CGNSC002/Juveniles/TKI 294 (2016-05-03).JPG","Yes")</f>
        <v>Yes</v>
      </c>
      <c r="E280" s="34" t="str">
        <f>HYPERLINK("http://cgn.websites.wur.nl/website/pictures/Special_collection_CGNSC002/Adults/TKI 294 (2016-05-31).JPG","Yes")</f>
        <v>Yes</v>
      </c>
      <c r="F280" s="33"/>
      <c r="G280" s="33" t="str">
        <f>HYPERLINK("http://cgn.websites.wur.nl/website/pictures/Special_collection_CGNSC002/Seeds/TKI 294 (2017-01-25).JPG","Yes")</f>
        <v>Yes</v>
      </c>
      <c r="H280" s="1"/>
      <c r="I280" s="2" t="s">
        <v>600</v>
      </c>
      <c r="J280" s="15">
        <v>153</v>
      </c>
      <c r="K280" s="2"/>
      <c r="L280" s="2" t="s">
        <v>1877</v>
      </c>
      <c r="M280" s="2"/>
      <c r="N280" s="37" t="s">
        <v>2176</v>
      </c>
    </row>
    <row r="281" spans="1:14" x14ac:dyDescent="0.25">
      <c r="A281" s="6" t="s">
        <v>420</v>
      </c>
      <c r="B281" s="2" t="s">
        <v>591</v>
      </c>
      <c r="C281" s="2">
        <v>2016</v>
      </c>
      <c r="D281" s="32" t="str">
        <f>HYPERLINK("http://cgn.websites.wur.nl/website/pictures/Special_collection_CGNSC002/Juveniles/TKI 295 (2016-05-03).JPG","Yes")</f>
        <v>Yes</v>
      </c>
      <c r="E281" s="34" t="str">
        <f>HYPERLINK("http://cgn.websites.wur.nl/website/pictures/Special_collection_CGNSC002/Adults/TKI 295 (2016-05-31).JPG","Yes")</f>
        <v>Yes</v>
      </c>
      <c r="F281" s="33" t="str">
        <f>HYPERLINK("http://cgn.websites.wur.nl/website/pictures/Special_collection_CGNSC002/Flowers/TKI 295 (2016-06-27).JPG","Yes")</f>
        <v>Yes</v>
      </c>
      <c r="G281" s="33" t="str">
        <f>HYPERLINK("http://cgn.websites.wur.nl/website/pictures/Special_collection_CGNSC002/Seeds/TKI 295 (2017-01-25).JPG","Yes")</f>
        <v>Yes</v>
      </c>
      <c r="H281" s="1"/>
      <c r="I281" s="2" t="s">
        <v>600</v>
      </c>
      <c r="J281" s="15">
        <v>130</v>
      </c>
      <c r="K281" s="2"/>
      <c r="L281" s="2" t="s">
        <v>1877</v>
      </c>
      <c r="M281" s="2"/>
      <c r="N281" s="37" t="s">
        <v>2177</v>
      </c>
    </row>
    <row r="282" spans="1:14" x14ac:dyDescent="0.25">
      <c r="A282" s="6" t="s">
        <v>421</v>
      </c>
      <c r="B282" s="2" t="s">
        <v>591</v>
      </c>
      <c r="C282" s="2">
        <v>2016</v>
      </c>
      <c r="D282" s="32" t="str">
        <f>HYPERLINK("http://cgn.websites.wur.nl/website/pictures/Special_collection_CGNSC002/Juveniles/TKI 296 (2016-05-03).JPG","Yes")</f>
        <v>Yes</v>
      </c>
      <c r="E282" s="34" t="str">
        <f>HYPERLINK("http://cgn.websites.wur.nl/website/pictures/Special_collection_CGNSC002/Adults/TKI 296 (2016-05-31).JPG","Yes")</f>
        <v>Yes</v>
      </c>
      <c r="F282" s="33" t="str">
        <f>HYPERLINK("http://cgn.websites.wur.nl/website/pictures/Special_collection_CGNSC002/Flowers/TKI 296 (2016-08-15).JPG","Yes")</f>
        <v>Yes</v>
      </c>
      <c r="G282" s="33" t="str">
        <f>HYPERLINK("http://cgn.websites.wur.nl/website/pictures/Special_collection_CGNSC002/Seeds/TKI 296 (2017-01-25).JPG","Yes")</f>
        <v>Yes</v>
      </c>
      <c r="H282" s="1"/>
      <c r="I282" s="2" t="s">
        <v>600</v>
      </c>
      <c r="J282" s="15">
        <v>153</v>
      </c>
      <c r="K282" s="2"/>
      <c r="L282" s="2" t="s">
        <v>1877</v>
      </c>
      <c r="M282" s="2"/>
      <c r="N282" s="37" t="s">
        <v>2178</v>
      </c>
    </row>
    <row r="283" spans="1:14" x14ac:dyDescent="0.25">
      <c r="A283" s="6" t="s">
        <v>422</v>
      </c>
      <c r="B283" s="2" t="s">
        <v>591</v>
      </c>
      <c r="C283" s="2">
        <v>2016</v>
      </c>
      <c r="D283" s="32" t="str">
        <f>HYPERLINK("http://cgn.websites.wur.nl/website/pictures/Special_collection_CGNSC002/Juveniles/TKI 297 (2016-05-03).JPG","Yes")</f>
        <v>Yes</v>
      </c>
      <c r="E283" s="34" t="str">
        <f>HYPERLINK("http://cgn.websites.wur.nl/website/pictures/Special_collection_CGNSC002/Adults/TKI 297 (2016-05-31).JPG","Yes")</f>
        <v>Yes</v>
      </c>
      <c r="F283" s="33"/>
      <c r="G283" s="33" t="str">
        <f>HYPERLINK("http://cgn.websites.wur.nl/website/pictures/Special_collection_CGNSC002/Seeds/TKI 297 (2017-01-25).JPG","Yes")</f>
        <v>Yes</v>
      </c>
      <c r="H283" s="1"/>
      <c r="I283" s="2" t="s">
        <v>600</v>
      </c>
      <c r="J283" s="15">
        <v>144</v>
      </c>
      <c r="K283" s="2"/>
      <c r="L283" s="2" t="s">
        <v>1877</v>
      </c>
      <c r="M283" s="2"/>
      <c r="N283" s="37" t="s">
        <v>2179</v>
      </c>
    </row>
    <row r="284" spans="1:14" x14ac:dyDescent="0.25">
      <c r="A284" s="6" t="s">
        <v>423</v>
      </c>
      <c r="B284" s="2" t="s">
        <v>591</v>
      </c>
      <c r="C284" s="2">
        <v>2016</v>
      </c>
      <c r="D284" s="32" t="str">
        <f>HYPERLINK("http://cgn.websites.wur.nl/website/pictures/Special_collection_CGNSC002/Juveniles/TKI 298 (2016-05-03).JPG","Yes")</f>
        <v>Yes</v>
      </c>
      <c r="E284" s="34" t="str">
        <f>HYPERLINK("http://cgn.websites.wur.nl/website/pictures/Special_collection_CGNSC002/Adults/TKI 298 (2016-05-31).JPG","Yes")</f>
        <v>Yes</v>
      </c>
      <c r="F284" s="33" t="str">
        <f>HYPERLINK("http://cgn.websites.wur.nl/website/pictures/Special_collection_CGNSC002/Flowers/TKI 298 (2016-08-15).JPG","Yes")</f>
        <v>Yes</v>
      </c>
      <c r="G284" s="33" t="str">
        <f>HYPERLINK("http://cgn.websites.wur.nl/website/pictures/Special_collection_CGNSC002/Seeds/TKI 298 (2017-01-25).JPG","Yes")</f>
        <v>Yes</v>
      </c>
      <c r="H284" s="1"/>
      <c r="I284" s="2" t="s">
        <v>600</v>
      </c>
      <c r="J284" s="15">
        <v>147</v>
      </c>
      <c r="K284" s="2"/>
      <c r="L284" s="2" t="s">
        <v>1877</v>
      </c>
      <c r="M284" s="2"/>
      <c r="N284" s="37" t="s">
        <v>2180</v>
      </c>
    </row>
    <row r="285" spans="1:14" x14ac:dyDescent="0.25">
      <c r="A285" s="6" t="s">
        <v>424</v>
      </c>
      <c r="B285" s="2" t="s">
        <v>591</v>
      </c>
      <c r="C285" s="2">
        <v>2016</v>
      </c>
      <c r="D285" s="32" t="str">
        <f>HYPERLINK("http://cgn.websites.wur.nl/website/pictures/Special_collection_CGNSC002/Juveniles/TKI 299 (2016-05-03).JPG","Yes")</f>
        <v>Yes</v>
      </c>
      <c r="E285" s="34" t="str">
        <f>HYPERLINK("http://cgn.websites.wur.nl/website/pictures/Special_collection_CGNSC002/Adults/TKI 299 (2016-05-31).JPG","Yes")</f>
        <v>Yes</v>
      </c>
      <c r="F285" s="33" t="str">
        <f>HYPERLINK("http://cgn.websites.wur.nl/website/pictures/Special_collection_CGNSC002/Flowers/TKI 299 (2016-08-08).JPG","Yes")</f>
        <v>Yes</v>
      </c>
      <c r="G285" s="33" t="str">
        <f>HYPERLINK("http://cgn.websites.wur.nl/website/pictures/Special_collection_CGNSC002/Seeds/TKI 299 (2017-01-25).JPG","Yes")</f>
        <v>Yes</v>
      </c>
      <c r="H285" s="1"/>
      <c r="I285" s="2" t="s">
        <v>600</v>
      </c>
      <c r="J285" s="15">
        <v>147</v>
      </c>
      <c r="K285" s="2"/>
      <c r="L285" s="2" t="s">
        <v>1877</v>
      </c>
      <c r="M285" s="2"/>
      <c r="N285" s="37" t="s">
        <v>2181</v>
      </c>
    </row>
    <row r="286" spans="1:14" x14ac:dyDescent="0.25">
      <c r="A286" s="6" t="s">
        <v>425</v>
      </c>
      <c r="B286" s="2" t="s">
        <v>591</v>
      </c>
      <c r="C286" s="2">
        <v>2016</v>
      </c>
      <c r="D286" s="32" t="str">
        <f>HYPERLINK("http://cgn.websites.wur.nl/website/pictures/Special_collection_CGNSC002/Juveniles/TKI 300 (2016-05-03).JPG","Yes")</f>
        <v>Yes</v>
      </c>
      <c r="E286" s="34" t="str">
        <f>HYPERLINK("http://cgn.websites.wur.nl/website/pictures/Special_collection_CGNSC002/Adults/TKI 300 (2016-05-31).JPG","Yes")</f>
        <v>Yes</v>
      </c>
      <c r="F286" s="33" t="str">
        <f>HYPERLINK("http://cgn.websites.wur.nl/website/pictures/Special_collection_CGNSC002/Flowers/TKI 300 (2016-08-08).JPG","Yes")</f>
        <v>Yes</v>
      </c>
      <c r="G286" s="33" t="str">
        <f>HYPERLINK("http://cgn.websites.wur.nl/website/pictures/Special_collection_CGNSC002/Seeds/TKI 300 (2017-01-25).JPG","Yes")</f>
        <v>Yes</v>
      </c>
      <c r="H286" s="1"/>
      <c r="I286" s="2" t="s">
        <v>600</v>
      </c>
      <c r="J286" s="15">
        <v>147</v>
      </c>
      <c r="K286" s="2"/>
      <c r="L286" s="2" t="s">
        <v>1877</v>
      </c>
      <c r="M286" s="2"/>
      <c r="N286" s="37" t="s">
        <v>2182</v>
      </c>
    </row>
    <row r="287" spans="1:14" x14ac:dyDescent="0.25">
      <c r="A287" s="6" t="s">
        <v>426</v>
      </c>
      <c r="B287" s="2" t="s">
        <v>591</v>
      </c>
      <c r="C287" s="2">
        <v>2016</v>
      </c>
      <c r="D287" s="32" t="str">
        <f>HYPERLINK("http://cgn.websites.wur.nl/website/pictures/Special_collection_CGNSC002/Juveniles/TKI 301 (2016-05-03).JPG","Yes")</f>
        <v>Yes</v>
      </c>
      <c r="E287" s="34" t="str">
        <f>HYPERLINK("http://cgn.websites.wur.nl/website/pictures/Special_collection_CGNSC002/Adults/TKI 301 (2016-05-31).JPG","Yes")</f>
        <v>Yes</v>
      </c>
      <c r="F287" s="33"/>
      <c r="G287" s="33" t="str">
        <f>HYPERLINK("http://cgn.websites.wur.nl/website/pictures/Special_collection_CGNSC002/Seeds/TKI 301 (2017-01-25).JPG","Yes")</f>
        <v>Yes</v>
      </c>
      <c r="H287" s="1"/>
      <c r="I287" s="2" t="s">
        <v>600</v>
      </c>
      <c r="J287" s="15">
        <v>153</v>
      </c>
      <c r="K287" s="2"/>
      <c r="L287" s="2" t="s">
        <v>1877</v>
      </c>
      <c r="M287" s="2"/>
      <c r="N287" s="37" t="s">
        <v>2183</v>
      </c>
    </row>
    <row r="288" spans="1:14" x14ac:dyDescent="0.25">
      <c r="A288" s="6" t="s">
        <v>427</v>
      </c>
      <c r="B288" s="2" t="s">
        <v>591</v>
      </c>
      <c r="C288" s="2">
        <v>2016</v>
      </c>
      <c r="D288" s="32" t="str">
        <f>HYPERLINK("http://cgn.websites.wur.nl/website/pictures/Special_collection_CGNSC002/Juveniles/TKI 302 (2016-05-03).JPG","Yes")</f>
        <v>Yes</v>
      </c>
      <c r="E288" s="34" t="str">
        <f>HYPERLINK("http://cgn.websites.wur.nl/website/pictures/Special_collection_CGNSC002/Adults/TKI 302 (2016-05-31).JPG","Yes")</f>
        <v>Yes</v>
      </c>
      <c r="F288" s="33" t="str">
        <f>HYPERLINK("http://cgn.websites.wur.nl/website/pictures/Special_collection_CGNSC002/Flowers/TKI 302 (2016-06-27).JPG","Yes")</f>
        <v>Yes</v>
      </c>
      <c r="G288" s="33" t="str">
        <f>HYPERLINK("http://cgn.websites.wur.nl/website/pictures/Special_collection_CGNSC002/Seeds/TKI 302 (2017-01-25).JPG","Yes")</f>
        <v>Yes</v>
      </c>
      <c r="H288" s="1"/>
      <c r="I288" s="2" t="s">
        <v>600</v>
      </c>
      <c r="J288" s="15">
        <v>144</v>
      </c>
      <c r="K288" s="2"/>
      <c r="L288" s="2" t="s">
        <v>1877</v>
      </c>
      <c r="M288" s="2"/>
      <c r="N288" s="37" t="s">
        <v>2184</v>
      </c>
    </row>
    <row r="289" spans="1:14" x14ac:dyDescent="0.25">
      <c r="A289" s="6" t="s">
        <v>428</v>
      </c>
      <c r="B289" s="2" t="s">
        <v>591</v>
      </c>
      <c r="C289" s="2">
        <v>2016</v>
      </c>
      <c r="D289" s="32" t="str">
        <f>HYPERLINK("http://cgn.websites.wur.nl/website/pictures/Special_collection_CGNSC002/Juveniles/TKI 303 (2016-05-03).JPG","Yes")</f>
        <v>Yes</v>
      </c>
      <c r="E289" s="34" t="str">
        <f>HYPERLINK("http://cgn.websites.wur.nl/website/pictures/Special_collection_CGNSC002/Adults/TKI 303 (2016-05-31).JPG","Yes")</f>
        <v>Yes</v>
      </c>
      <c r="F289" s="33"/>
      <c r="G289" s="33" t="str">
        <f>HYPERLINK("http://cgn.websites.wur.nl/website/pictures/Special_collection_CGNSC002/Seeds/TKI 303 (2017-01-25).JPG","Yes")</f>
        <v>Yes</v>
      </c>
      <c r="H289" s="1"/>
      <c r="I289" s="2" t="s">
        <v>599</v>
      </c>
      <c r="J289" s="15">
        <v>144</v>
      </c>
      <c r="K289" s="2"/>
      <c r="L289" s="2" t="s">
        <v>1877</v>
      </c>
      <c r="M289" s="2"/>
      <c r="N289" s="37" t="s">
        <v>2185</v>
      </c>
    </row>
    <row r="290" spans="1:14" x14ac:dyDescent="0.25">
      <c r="A290" s="6" t="s">
        <v>429</v>
      </c>
      <c r="B290" s="2" t="s">
        <v>591</v>
      </c>
      <c r="C290" s="2">
        <v>2016</v>
      </c>
      <c r="D290" s="32" t="str">
        <f>HYPERLINK("http://cgn.websites.wur.nl/website/pictures/Special_collection_CGNSC002/Juveniles/TKI 304 (2016-05-03).JPG","Yes")</f>
        <v>Yes</v>
      </c>
      <c r="E290" s="34" t="str">
        <f>HYPERLINK("http://cgn.websites.wur.nl/website/pictures/Special_collection_CGNSC002/Adults/TKI 304 (2016-05-31).JPG","Yes")</f>
        <v>Yes</v>
      </c>
      <c r="F290" s="33" t="str">
        <f>HYPERLINK("http://cgn.websites.wur.nl/website/pictures/Special_collection_CGNSC002/Flowers/TKI 304 (2016-08-04).JPG","Yes")</f>
        <v>Yes</v>
      </c>
      <c r="G290" s="33" t="str">
        <f>HYPERLINK("http://cgn.websites.wur.nl/website/pictures/Special_collection_CGNSC002/Seeds/TKI 304 (2017-01-25).JPG","Yes")</f>
        <v>Yes</v>
      </c>
      <c r="H290" s="1"/>
      <c r="I290" s="2" t="s">
        <v>599</v>
      </c>
      <c r="J290" s="15">
        <v>144</v>
      </c>
      <c r="K290" s="2"/>
      <c r="L290" s="2" t="s">
        <v>1877</v>
      </c>
      <c r="M290" s="2"/>
      <c r="N290" s="37" t="s">
        <v>2186</v>
      </c>
    </row>
    <row r="291" spans="1:14" x14ac:dyDescent="0.25">
      <c r="A291" s="6" t="s">
        <v>430</v>
      </c>
      <c r="B291" s="2" t="s">
        <v>591</v>
      </c>
      <c r="C291" s="2">
        <v>2016</v>
      </c>
      <c r="D291" s="32" t="str">
        <f>HYPERLINK("http://cgn.websites.wur.nl/website/pictures/Special_collection_CGNSC002/Juveniles/TKI 305 (2016-05-03).JPG","Yes")</f>
        <v>Yes</v>
      </c>
      <c r="E291" s="34" t="str">
        <f>HYPERLINK("http://cgn.websites.wur.nl/website/pictures/Special_collection_CGNSC002/Adults/TKI 305 (2016-05-31).JPG","Yes")</f>
        <v>Yes</v>
      </c>
      <c r="F291" s="33"/>
      <c r="G291" s="33" t="str">
        <f>HYPERLINK("http://cgn.websites.wur.nl/website/pictures/Special_collection_CGNSC002/Seeds/TKI 305 (2017-01-25).JPG","Yes")</f>
        <v>Yes</v>
      </c>
      <c r="H291" s="1"/>
      <c r="I291" s="2" t="s">
        <v>599</v>
      </c>
      <c r="J291" s="15">
        <v>144</v>
      </c>
      <c r="K291" s="2"/>
      <c r="L291" s="2" t="s">
        <v>1877</v>
      </c>
      <c r="M291" s="2"/>
      <c r="N291" s="37" t="s">
        <v>2187</v>
      </c>
    </row>
    <row r="292" spans="1:14" x14ac:dyDescent="0.25">
      <c r="A292" s="6" t="s">
        <v>431</v>
      </c>
      <c r="B292" s="2" t="s">
        <v>591</v>
      </c>
      <c r="C292" s="2">
        <v>2016</v>
      </c>
      <c r="D292" s="32" t="str">
        <f>HYPERLINK("http://cgn.websites.wur.nl/website/pictures/Special_collection_CGNSC002/Juveniles/TKI 306 (2016-05-03).JPG","Yes")</f>
        <v>Yes</v>
      </c>
      <c r="E292" s="34" t="str">
        <f>HYPERLINK("http://cgn.websites.wur.nl/website/pictures/Special_collection_CGNSC002/Adults/TKI 306 (2016-05-31).JPG","Yes")</f>
        <v>Yes</v>
      </c>
      <c r="F292" s="33" t="str">
        <f>HYPERLINK("http://cgn.websites.wur.nl/website/pictures/Special_collection_CGNSC002/Flowers/TKI 306 (2016-09-08).JPG","Yes")</f>
        <v>Yes</v>
      </c>
      <c r="G292" s="33" t="str">
        <f>HYPERLINK("http://cgn.websites.wur.nl/website/pictures/Special_collection_CGNSC002/Seeds/TKI 306 (2017-01-25).JPG","Yes")</f>
        <v>Yes</v>
      </c>
      <c r="H292" s="1"/>
      <c r="I292" s="2" t="s">
        <v>600</v>
      </c>
      <c r="J292" s="15">
        <v>144</v>
      </c>
      <c r="K292" s="2"/>
      <c r="L292" s="2" t="s">
        <v>1877</v>
      </c>
      <c r="M292" s="2"/>
      <c r="N292" s="37" t="s">
        <v>2188</v>
      </c>
    </row>
    <row r="293" spans="1:14" x14ac:dyDescent="0.25">
      <c r="A293" s="6" t="s">
        <v>432</v>
      </c>
      <c r="B293" s="2" t="s">
        <v>591</v>
      </c>
      <c r="C293" s="2">
        <v>2016</v>
      </c>
      <c r="D293" s="32" t="str">
        <f>HYPERLINK("http://cgn.websites.wur.nl/website/pictures/Special_collection_CGNSC002/Juveniles/TKI 307 (2016-05-03).JPG","Yes")</f>
        <v>Yes</v>
      </c>
      <c r="E293" s="34" t="str">
        <f>HYPERLINK("http://cgn.websites.wur.nl/website/pictures/Special_collection_CGNSC002/Adults/TKI 307 (2016-05-31).JPG","Yes")</f>
        <v>Yes</v>
      </c>
      <c r="F293" s="33" t="str">
        <f>HYPERLINK("http://cgn.websites.wur.nl/website/pictures/Special_collection_CGNSC002/Flowers/TKI 307 (2016-08-04).JPG","Yes")</f>
        <v>Yes</v>
      </c>
      <c r="G293" s="33" t="str">
        <f>HYPERLINK("http://cgn.websites.wur.nl/website/pictures/Special_collection_CGNSC002/Seeds/TKI 307 (2017-01-25).JPG","Yes")</f>
        <v>Yes</v>
      </c>
      <c r="H293" s="1"/>
      <c r="I293" s="2" t="s">
        <v>600</v>
      </c>
      <c r="J293" s="15">
        <v>144</v>
      </c>
      <c r="K293" s="2"/>
      <c r="L293" s="2" t="s">
        <v>1877</v>
      </c>
      <c r="M293" s="2"/>
      <c r="N293" s="37" t="s">
        <v>2189</v>
      </c>
    </row>
    <row r="294" spans="1:14" x14ac:dyDescent="0.25">
      <c r="A294" s="6" t="s">
        <v>433</v>
      </c>
      <c r="B294" s="2" t="s">
        <v>591</v>
      </c>
      <c r="C294" s="2">
        <v>2016</v>
      </c>
      <c r="D294" s="32" t="str">
        <f>HYPERLINK("http://cgn.websites.wur.nl/website/pictures/Special_collection_CGNSC002/Juveniles/TKI 308 (2016-05-03).JPG","Yes")</f>
        <v>Yes</v>
      </c>
      <c r="E294" s="34" t="str">
        <f>HYPERLINK("http://cgn.websites.wur.nl/website/pictures/Special_collection_CGNSC002/Adults/TKI 308 (2016-05-31).JPG","Yes")</f>
        <v>Yes</v>
      </c>
      <c r="F294" s="33" t="str">
        <f>HYPERLINK("http://cgn.websites.wur.nl/website/pictures/Special_collection_CGNSC002/Flowers/TKI 308 (2016-07-04).JPG","Yes")</f>
        <v>Yes</v>
      </c>
      <c r="G294" s="33" t="str">
        <f>HYPERLINK("http://cgn.websites.wur.nl/website/pictures/Special_collection_CGNSC002/Seeds/TKI 308 (2017-01-25).JPG","Yes")</f>
        <v>Yes</v>
      </c>
      <c r="H294" s="1"/>
      <c r="I294" s="2" t="s">
        <v>600</v>
      </c>
      <c r="J294" s="15">
        <v>130</v>
      </c>
      <c r="K294" s="2"/>
      <c r="L294" s="2" t="s">
        <v>1877</v>
      </c>
      <c r="M294" s="2"/>
      <c r="N294" s="37" t="s">
        <v>2190</v>
      </c>
    </row>
    <row r="295" spans="1:14" x14ac:dyDescent="0.25">
      <c r="A295" s="6" t="s">
        <v>434</v>
      </c>
      <c r="B295" s="2" t="s">
        <v>591</v>
      </c>
      <c r="C295" s="2">
        <v>2016</v>
      </c>
      <c r="D295" s="32" t="str">
        <f>HYPERLINK("http://cgn.websites.wur.nl/website/pictures/Special_collection_CGNSC002/Juveniles/TKI 309 (2016-05-03).JPG","Yes")</f>
        <v>Yes</v>
      </c>
      <c r="E295" s="34" t="str">
        <f>HYPERLINK("http://cgn.websites.wur.nl/website/pictures/Special_collection_CGNSC002/Adults/TKI 309 (2016-05-31).JPG","Yes")</f>
        <v>Yes</v>
      </c>
      <c r="F295" s="33" t="str">
        <f>HYPERLINK("http://cgn.websites.wur.nl/website/pictures/Special_collection_CGNSC002/Flowers/TKI 309 (2016-09-05).JPG","Yes")</f>
        <v>Yes</v>
      </c>
      <c r="G295" s="33" t="str">
        <f>HYPERLINK("http://cgn.websites.wur.nl/website/pictures/Special_collection_CGNSC002/Seeds/TKI 309 (2017-01-25).JPG","Yes")</f>
        <v>Yes</v>
      </c>
      <c r="H295" s="1"/>
      <c r="I295" s="2" t="s">
        <v>600</v>
      </c>
      <c r="J295" s="15">
        <v>144</v>
      </c>
      <c r="K295" s="2"/>
      <c r="L295" s="2" t="s">
        <v>1877</v>
      </c>
      <c r="M295" s="2"/>
      <c r="N295" s="37" t="s">
        <v>2191</v>
      </c>
    </row>
    <row r="296" spans="1:14" x14ac:dyDescent="0.25">
      <c r="A296" s="6" t="s">
        <v>435</v>
      </c>
      <c r="B296" s="2" t="s">
        <v>591</v>
      </c>
      <c r="C296" s="2">
        <v>2016</v>
      </c>
      <c r="D296" s="32" t="str">
        <f>HYPERLINK("http://cgn.websites.wur.nl/website/pictures/Special_collection_CGNSC002/Juveniles/TKI 310 (2016-05-03).JPG","Yes")</f>
        <v>Yes</v>
      </c>
      <c r="E296" s="34" t="str">
        <f>HYPERLINK("http://cgn.websites.wur.nl/website/pictures/Special_collection_CGNSC002/Adults/TKI 310 (2016-05-31).JPG","Yes")</f>
        <v>Yes</v>
      </c>
      <c r="F296" s="33" t="str">
        <f>HYPERLINK("http://cgn.websites.wur.nl/website/pictures/Special_collection_CGNSC002/Flowers/TKI 310 (2016-09-05).JPG","Yes")</f>
        <v>Yes</v>
      </c>
      <c r="G296" s="33" t="str">
        <f>HYPERLINK("http://cgn.websites.wur.nl/website/pictures/Special_collection_CGNSC002/Seeds/TKI 310 (2017-01-25).JPG","Yes")</f>
        <v>Yes</v>
      </c>
      <c r="H296" s="1"/>
      <c r="I296" s="2" t="s">
        <v>600</v>
      </c>
      <c r="J296" s="15">
        <v>137</v>
      </c>
      <c r="K296" s="2"/>
      <c r="L296" s="2" t="s">
        <v>1877</v>
      </c>
      <c r="M296" s="2"/>
      <c r="N296" s="37" t="s">
        <v>2192</v>
      </c>
    </row>
    <row r="297" spans="1:14" x14ac:dyDescent="0.25">
      <c r="A297" s="6" t="s">
        <v>436</v>
      </c>
      <c r="B297" s="2" t="s">
        <v>591</v>
      </c>
      <c r="C297" s="2">
        <v>2016</v>
      </c>
      <c r="D297" s="32" t="str">
        <f>HYPERLINK("http://cgn.websites.wur.nl/website/pictures/Special_collection_CGNSC002/Juveniles/TKI 311 (2016-05-03).JPG","Yes")</f>
        <v>Yes</v>
      </c>
      <c r="E297" s="34" t="str">
        <f>HYPERLINK("http://cgn.websites.wur.nl/website/pictures/Special_collection_CGNSC002/Adults/TKI 311 (2016-05-31).JPG","Yes")</f>
        <v>Yes</v>
      </c>
      <c r="F297" s="33" t="str">
        <f>HYPERLINK("http://cgn.websites.wur.nl/website/pictures/Special_collection_CGNSC002/Flowers/TKI 311 (2016-08-15).JPG","Yes")</f>
        <v>Yes</v>
      </c>
      <c r="G297" s="33" t="str">
        <f>HYPERLINK("http://cgn.websites.wur.nl/website/pictures/Special_collection_CGNSC002/Seeds/TKI 311 (2017-01-25).JPG","Yes")</f>
        <v>Yes</v>
      </c>
      <c r="H297" s="1"/>
      <c r="I297" s="2" t="s">
        <v>600</v>
      </c>
      <c r="J297" s="15">
        <v>144</v>
      </c>
      <c r="K297" s="2"/>
      <c r="L297" s="2" t="s">
        <v>1877</v>
      </c>
      <c r="M297" s="2"/>
      <c r="N297" s="37" t="s">
        <v>2193</v>
      </c>
    </row>
    <row r="298" spans="1:14" x14ac:dyDescent="0.25">
      <c r="A298" s="6" t="s">
        <v>437</v>
      </c>
      <c r="B298" s="2" t="s">
        <v>591</v>
      </c>
      <c r="C298" s="2">
        <v>2016</v>
      </c>
      <c r="D298" s="32" t="str">
        <f>HYPERLINK("http://cgn.websites.wur.nl/website/pictures/Special_collection_CGNSC002/Juveniles/TKI 312 (2016-05-03).JPG","Yes")</f>
        <v>Yes</v>
      </c>
      <c r="E298" s="34" t="str">
        <f>HYPERLINK("http://cgn.websites.wur.nl/website/pictures/Special_collection_CGNSC002/Adults/TKI 312 (2016-05-31).JPG","Yes")</f>
        <v>Yes</v>
      </c>
      <c r="F298" s="33" t="str">
        <f>HYPERLINK("http://cgn.websites.wur.nl/website/pictures/Special_collection_CGNSC002/Flowers/TKI 312 (2016-07-28).JPG","Yes")</f>
        <v>Yes</v>
      </c>
      <c r="G298" s="33" t="str">
        <f>HYPERLINK("http://cgn.websites.wur.nl/website/pictures/Special_collection_CGNSC002/Seeds/TKI 312 (2017-01-25).JPG","Yes")</f>
        <v>Yes</v>
      </c>
      <c r="H298" s="1"/>
      <c r="I298" s="2" t="s">
        <v>600</v>
      </c>
      <c r="J298" s="15">
        <v>130</v>
      </c>
      <c r="K298" s="2"/>
      <c r="L298" s="2" t="s">
        <v>1877</v>
      </c>
      <c r="M298" s="2"/>
      <c r="N298" s="37" t="s">
        <v>2194</v>
      </c>
    </row>
    <row r="299" spans="1:14" x14ac:dyDescent="0.25">
      <c r="A299" s="6" t="s">
        <v>438</v>
      </c>
      <c r="B299" s="2" t="s">
        <v>591</v>
      </c>
      <c r="C299" s="2">
        <v>2016</v>
      </c>
      <c r="D299" s="32" t="str">
        <f>HYPERLINK("http://cgn.websites.wur.nl/website/pictures/Special_collection_CGNSC002/Juveniles/TKI 313 (2016-05-03).JPG","Yes")</f>
        <v>Yes</v>
      </c>
      <c r="E299" s="34" t="str">
        <f>HYPERLINK("http://cgn.websites.wur.nl/website/pictures/Special_collection_CGNSC002/Adults/TKI 313 (2016-05-31).JPG","Yes")</f>
        <v>Yes</v>
      </c>
      <c r="F299" s="33"/>
      <c r="G299" s="33" t="str">
        <f>HYPERLINK("http://cgn.websites.wur.nl/website/pictures/Special_collection_CGNSC002/Seeds/TKI 313 (2017-01-25).JPG","Yes")</f>
        <v>Yes</v>
      </c>
      <c r="H299" s="1"/>
      <c r="I299" s="2" t="s">
        <v>600</v>
      </c>
      <c r="J299" s="15">
        <v>137</v>
      </c>
      <c r="K299" s="2"/>
      <c r="L299" s="2" t="s">
        <v>1877</v>
      </c>
      <c r="M299" s="2"/>
      <c r="N299" s="37" t="s">
        <v>2195</v>
      </c>
    </row>
    <row r="300" spans="1:14" x14ac:dyDescent="0.25">
      <c r="A300" s="6" t="s">
        <v>439</v>
      </c>
      <c r="B300" s="2" t="s">
        <v>591</v>
      </c>
      <c r="C300" s="2">
        <v>2016</v>
      </c>
      <c r="D300" s="32" t="str">
        <f>HYPERLINK("http://cgn.websites.wur.nl/website/pictures/Special_collection_CGNSC002/Juveniles/TKI 314 (2016-05-03).JPG","Yes")</f>
        <v>Yes</v>
      </c>
      <c r="E300" s="34" t="str">
        <f>HYPERLINK("http://cgn.websites.wur.nl/website/pictures/Special_collection_CGNSC002/Adults/TKI 314 (2016-05-31).JPG","Yes")</f>
        <v>Yes</v>
      </c>
      <c r="F300" s="33" t="str">
        <f>HYPERLINK("http://cgn.websites.wur.nl/website/pictures/Special_collection_CGNSC002/Flowers/TKI 314 (2016-06-27).JPG","Yes")</f>
        <v>Yes</v>
      </c>
      <c r="G300" s="33" t="str">
        <f>HYPERLINK("http://cgn.websites.wur.nl/website/pictures/Special_collection_CGNSC002/Seeds/TKI 314 (2017-01-25).JPG","Yes")</f>
        <v>Yes</v>
      </c>
      <c r="H300" s="1"/>
      <c r="I300" s="2" t="s">
        <v>600</v>
      </c>
      <c r="J300" s="15">
        <v>130</v>
      </c>
      <c r="K300" s="2" t="s">
        <v>604</v>
      </c>
      <c r="L300" s="2" t="s">
        <v>1877</v>
      </c>
      <c r="M300" s="2"/>
      <c r="N300" s="37" t="s">
        <v>2196</v>
      </c>
    </row>
    <row r="301" spans="1:14" x14ac:dyDescent="0.25">
      <c r="A301" s="6" t="s">
        <v>440</v>
      </c>
      <c r="B301" s="2" t="s">
        <v>591</v>
      </c>
      <c r="C301" s="2">
        <v>2016</v>
      </c>
      <c r="D301" s="32" t="str">
        <f>HYPERLINK("http://cgn.websites.wur.nl/website/pictures/Special_collection_CGNSC002/Juveniles/TKI 315 (2016-05-03).JPG","Yes")</f>
        <v>Yes</v>
      </c>
      <c r="E301" s="34" t="str">
        <f>HYPERLINK("http://cgn.websites.wur.nl/website/pictures/Special_collection_CGNSC002/Adults/TKI 315 (2016-05-31).JPG","Yes")</f>
        <v>Yes</v>
      </c>
      <c r="F301" s="33" t="str">
        <f>HYPERLINK("http://cgn.websites.wur.nl/website/pictures/Special_collection_CGNSC002/Flowers/TKI 315 (2016-09-08).JPG","Yes")</f>
        <v>Yes</v>
      </c>
      <c r="G301" s="33" t="str">
        <f>HYPERLINK("http://cgn.websites.wur.nl/website/pictures/Special_collection_CGNSC002/Seeds/TKI 315 (2017-01-25).JPG","Yes")</f>
        <v>Yes</v>
      </c>
      <c r="H301" s="1"/>
      <c r="I301" s="2" t="s">
        <v>600</v>
      </c>
      <c r="J301" s="15">
        <v>153</v>
      </c>
      <c r="K301" s="2"/>
      <c r="L301" s="2" t="s">
        <v>1877</v>
      </c>
      <c r="M301" s="2"/>
      <c r="N301" s="37" t="s">
        <v>2197</v>
      </c>
    </row>
    <row r="302" spans="1:14" x14ac:dyDescent="0.25">
      <c r="A302" s="6" t="s">
        <v>441</v>
      </c>
      <c r="B302" s="2" t="s">
        <v>591</v>
      </c>
      <c r="C302" s="2">
        <v>2016</v>
      </c>
      <c r="D302" s="32" t="str">
        <f>HYPERLINK("http://cgn.websites.wur.nl/website/pictures/Special_collection_CGNSC002/Juveniles/TKI 316 (2016-05-03).JPG","Yes")</f>
        <v>Yes</v>
      </c>
      <c r="E302" s="34" t="str">
        <f>HYPERLINK("http://cgn.websites.wur.nl/website/pictures/Special_collection_CGNSC002/Adults/TKI 316 (2016-05-31).JPG","Yes")</f>
        <v>Yes</v>
      </c>
      <c r="F302" s="33" t="str">
        <f>HYPERLINK("http://cgn.websites.wur.nl/website/pictures/Special_collection_CGNSC002/Flowers/TKI 316 (2016-08-01).JPG","Yes")</f>
        <v>Yes</v>
      </c>
      <c r="G302" s="33" t="str">
        <f>HYPERLINK("http://cgn.websites.wur.nl/website/pictures/Special_collection_CGNSC002/Seeds/TKI 316 (2017-01-25).JPG","Yes")</f>
        <v>Yes</v>
      </c>
      <c r="H302" s="1"/>
      <c r="I302" s="2" t="s">
        <v>600</v>
      </c>
      <c r="J302" s="15">
        <v>144</v>
      </c>
      <c r="K302" s="2" t="s">
        <v>602</v>
      </c>
      <c r="L302" s="2" t="s">
        <v>1877</v>
      </c>
      <c r="M302" s="2"/>
      <c r="N302" s="37" t="s">
        <v>2198</v>
      </c>
    </row>
    <row r="303" spans="1:14" x14ac:dyDescent="0.25">
      <c r="A303" s="6" t="s">
        <v>442</v>
      </c>
      <c r="B303" s="2" t="s">
        <v>591</v>
      </c>
      <c r="C303" s="2">
        <v>2016</v>
      </c>
      <c r="D303" s="32" t="str">
        <f>HYPERLINK("http://cgn.websites.wur.nl/website/pictures/Special_collection_CGNSC002/Juveniles/TKI 317 (2016-05-03).JPG","Yes")</f>
        <v>Yes</v>
      </c>
      <c r="E303" s="34" t="str">
        <f>HYPERLINK("http://cgn.websites.wur.nl/website/pictures/Special_collection_CGNSC002/Adults/TKI 317 (2016-05-31).JPG","Yes")</f>
        <v>Yes</v>
      </c>
      <c r="F303" s="33"/>
      <c r="G303" s="33" t="str">
        <f>HYPERLINK("http://cgn.websites.wur.nl/website/pictures/Special_collection_CGNSC002/Seeds/TKI 317 (2017-01-25).JPG","Yes")</f>
        <v>Yes</v>
      </c>
      <c r="H303" s="1"/>
      <c r="I303" s="2" t="s">
        <v>600</v>
      </c>
      <c r="J303" s="15">
        <v>124</v>
      </c>
      <c r="K303" s="2"/>
      <c r="L303" s="2" t="s">
        <v>1877</v>
      </c>
      <c r="M303" s="2"/>
      <c r="N303" s="37" t="s">
        <v>2199</v>
      </c>
    </row>
    <row r="304" spans="1:14" x14ac:dyDescent="0.25">
      <c r="A304" s="6" t="s">
        <v>443</v>
      </c>
      <c r="B304" s="2" t="s">
        <v>591</v>
      </c>
      <c r="C304" s="2">
        <v>2016</v>
      </c>
      <c r="D304" s="32" t="str">
        <f>HYPERLINK("http://cgn.websites.wur.nl/website/pictures/Special_collection_CGNSC002/Juveniles/TKI 318 (2016-05-03).JPG","Yes")</f>
        <v>Yes</v>
      </c>
      <c r="E304" s="34" t="str">
        <f>HYPERLINK("http://cgn.websites.wur.nl/website/pictures/Special_collection_CGNSC002/Adults/TKI 318 (2016-05-31).JPG","Yes")</f>
        <v>Yes</v>
      </c>
      <c r="F304" s="33" t="str">
        <f>HYPERLINK("http://cgn.websites.wur.nl/website/pictures/Special_collection_CGNSC002/Flowers/TKI 318 (2016-07-14).JPG","Yes")</f>
        <v>Yes</v>
      </c>
      <c r="G304" s="33" t="str">
        <f>HYPERLINK("http://cgn.websites.wur.nl/website/pictures/Special_collection_CGNSC002/Seeds/TKI 318 (2017-01-25).JPG","Yes")</f>
        <v>Yes</v>
      </c>
      <c r="H304" s="1"/>
      <c r="I304" s="2" t="s">
        <v>600</v>
      </c>
      <c r="J304" s="15">
        <v>130</v>
      </c>
      <c r="K304" s="2" t="s">
        <v>602</v>
      </c>
      <c r="L304" s="2" t="s">
        <v>1877</v>
      </c>
      <c r="M304" s="2"/>
      <c r="N304" s="37" t="s">
        <v>2200</v>
      </c>
    </row>
    <row r="305" spans="1:14" x14ac:dyDescent="0.25">
      <c r="A305" s="6" t="s">
        <v>444</v>
      </c>
      <c r="B305" s="2" t="s">
        <v>591</v>
      </c>
      <c r="C305" s="2">
        <v>2016</v>
      </c>
      <c r="D305" s="32" t="str">
        <f>HYPERLINK("http://cgn.websites.wur.nl/website/pictures/Special_collection_CGNSC002/Juveniles/TKI 319 (2016-05-03).JPG","Yes")</f>
        <v>Yes</v>
      </c>
      <c r="E305" s="34" t="str">
        <f>HYPERLINK("http://cgn.websites.wur.nl/website/pictures/Special_collection_CGNSC002/Adults/TKI 319 (2016-05-31).JPG","Yes")</f>
        <v>Yes</v>
      </c>
      <c r="F305" s="33" t="str">
        <f>HYPERLINK("http://cgn.websites.wur.nl/website/pictures/Special_collection_CGNSC002/Flowers/TKI 319 (2016-06-27).JPG","Yes")</f>
        <v>Yes</v>
      </c>
      <c r="G305" s="33" t="str">
        <f>HYPERLINK("http://cgn.websites.wur.nl/website/pictures/Special_collection_CGNSC002/Seeds/TKI 319 (2017-01-25).JPG","Yes")</f>
        <v>Yes</v>
      </c>
      <c r="H305" s="1"/>
      <c r="I305" s="2" t="s">
        <v>600</v>
      </c>
      <c r="J305" s="15">
        <v>137</v>
      </c>
      <c r="K305" s="2"/>
      <c r="L305" s="2" t="s">
        <v>1877</v>
      </c>
      <c r="M305" s="2"/>
      <c r="N305" s="37" t="s">
        <v>2201</v>
      </c>
    </row>
    <row r="306" spans="1:14" x14ac:dyDescent="0.25">
      <c r="A306" s="6" t="s">
        <v>445</v>
      </c>
      <c r="B306" s="2" t="s">
        <v>591</v>
      </c>
      <c r="C306" s="2">
        <v>2016</v>
      </c>
      <c r="D306" s="32" t="str">
        <f>HYPERLINK("http://cgn.websites.wur.nl/website/pictures/Special_collection_CGNSC002/Juveniles/TKI 320 (2016-05-03).JPG","Yes")</f>
        <v>Yes</v>
      </c>
      <c r="E306" s="34" t="str">
        <f>HYPERLINK("http://cgn.websites.wur.nl/website/pictures/Special_collection_CGNSC002/Adults/TKI 320 (2016-05-31).JPG","Yes")</f>
        <v>Yes</v>
      </c>
      <c r="F306" s="33"/>
      <c r="G306" s="33" t="str">
        <f>HYPERLINK("http://cgn.websites.wur.nl/website/pictures/Special_collection_CGNSC002/Seeds/TKI 320 (2017-01-25).JPG","Yes")</f>
        <v>Yes</v>
      </c>
      <c r="H306" s="1"/>
      <c r="I306" s="2" t="s">
        <v>600</v>
      </c>
      <c r="J306" s="15">
        <v>147</v>
      </c>
      <c r="K306" s="2"/>
      <c r="L306" s="2" t="s">
        <v>1877</v>
      </c>
      <c r="M306" s="2"/>
      <c r="N306" s="37" t="s">
        <v>2202</v>
      </c>
    </row>
    <row r="307" spans="1:14" x14ac:dyDescent="0.25">
      <c r="A307" s="6" t="s">
        <v>446</v>
      </c>
      <c r="B307" s="2" t="s">
        <v>591</v>
      </c>
      <c r="C307" s="2">
        <v>2016</v>
      </c>
      <c r="D307" s="32" t="str">
        <f>HYPERLINK("http://cgn.websites.wur.nl/website/pictures/Special_collection_CGNSC002/Juveniles/TKI 321 (2016-05-03).JPG","Yes")</f>
        <v>Yes</v>
      </c>
      <c r="E307" s="34" t="str">
        <f>HYPERLINK("http://cgn.websites.wur.nl/website/pictures/Special_collection_CGNSC002/Adults/TKI 321 (2016-05-31).JPG","Yes")</f>
        <v>Yes</v>
      </c>
      <c r="F307" s="33"/>
      <c r="G307" s="33" t="str">
        <f>HYPERLINK("http://cgn.websites.wur.nl/website/pictures/Special_collection_CGNSC002/Seeds/TKI 321 (2017-01-25).JPG","Yes")</f>
        <v>Yes</v>
      </c>
      <c r="H307" s="1"/>
      <c r="I307" s="2" t="s">
        <v>600</v>
      </c>
      <c r="J307" s="15">
        <v>124</v>
      </c>
      <c r="K307" s="2"/>
      <c r="L307" s="2" t="s">
        <v>1877</v>
      </c>
      <c r="M307" s="2"/>
      <c r="N307" s="37" t="s">
        <v>2203</v>
      </c>
    </row>
    <row r="308" spans="1:14" x14ac:dyDescent="0.25">
      <c r="A308" s="6" t="s">
        <v>447</v>
      </c>
      <c r="B308" s="2" t="s">
        <v>591</v>
      </c>
      <c r="C308" s="2">
        <v>2016</v>
      </c>
      <c r="D308" s="32" t="str">
        <f>HYPERLINK("http://cgn.websites.wur.nl/website/pictures/Special_collection_CGNSC002/Juveniles/TKI 322 (2016-05-03).JPG","Yes")</f>
        <v>Yes</v>
      </c>
      <c r="E308" s="34" t="str">
        <f>HYPERLINK("http://cgn.websites.wur.nl/website/pictures/Special_collection_CGNSC002/Adults/TKI 322 (2016-05-31).JPG","Yes")</f>
        <v>Yes</v>
      </c>
      <c r="F308" s="33" t="str">
        <f>HYPERLINK("http://cgn.websites.wur.nl/website/pictures/Special_collection_CGNSC002/Flowers/TKI 322 (2016-06-27).JPG","Yes")</f>
        <v>Yes</v>
      </c>
      <c r="G308" s="33" t="str">
        <f>HYPERLINK("http://cgn.websites.wur.nl/website/pictures/Special_collection_CGNSC002/Seeds/TKI 322 (2017-01-25).JPG","Yes")</f>
        <v>Yes</v>
      </c>
      <c r="H308" s="1"/>
      <c r="I308" s="2" t="s">
        <v>600</v>
      </c>
      <c r="J308" s="15">
        <v>124</v>
      </c>
      <c r="K308" s="2" t="s">
        <v>602</v>
      </c>
      <c r="L308" s="2" t="s">
        <v>1877</v>
      </c>
      <c r="M308" s="2"/>
      <c r="N308" s="37" t="s">
        <v>2204</v>
      </c>
    </row>
    <row r="309" spans="1:14" x14ac:dyDescent="0.25">
      <c r="A309" s="6" t="s">
        <v>448</v>
      </c>
      <c r="B309" s="2" t="s">
        <v>591</v>
      </c>
      <c r="C309" s="2">
        <v>2016</v>
      </c>
      <c r="D309" s="32" t="str">
        <f>HYPERLINK("http://cgn.websites.wur.nl/website/pictures/Special_collection_CGNSC002/Juveniles/TKI 323 (2016-05-03).JPG","Yes")</f>
        <v>Yes</v>
      </c>
      <c r="E309" s="34" t="str">
        <f>HYPERLINK("http://cgn.websites.wur.nl/website/pictures/Special_collection_CGNSC002/Adults/TKI 323 (2016-05-31).JPG","Yes")</f>
        <v>Yes</v>
      </c>
      <c r="F309" s="33" t="str">
        <f>HYPERLINK("http://cgn.websites.wur.nl/website/pictures/Special_collection_CGNSC002/Flowers/TKI 323 (2016-07-28).JPG","Yes")</f>
        <v>Yes</v>
      </c>
      <c r="G309" s="33" t="str">
        <f>HYPERLINK("http://cgn.websites.wur.nl/website/pictures/Special_collection_CGNSC002/Seeds/TKI 323 (2017-01-25).JPG","Yes")</f>
        <v>Yes</v>
      </c>
      <c r="H309" s="1"/>
      <c r="I309" s="2" t="s">
        <v>600</v>
      </c>
      <c r="J309" s="15">
        <v>130</v>
      </c>
      <c r="K309" s="2"/>
      <c r="L309" s="2" t="s">
        <v>1877</v>
      </c>
      <c r="M309" s="2"/>
      <c r="N309" s="37" t="s">
        <v>2205</v>
      </c>
    </row>
    <row r="310" spans="1:14" x14ac:dyDescent="0.25">
      <c r="A310" s="6" t="s">
        <v>449</v>
      </c>
      <c r="B310" s="2" t="s">
        <v>591</v>
      </c>
      <c r="C310" s="2">
        <v>2016</v>
      </c>
      <c r="D310" s="32" t="str">
        <f>HYPERLINK("http://cgn.websites.wur.nl/website/pictures/Special_collection_CGNSC002/Juveniles/TKI 324 (2016-05-03).JPG","Yes")</f>
        <v>Yes</v>
      </c>
      <c r="E310" s="34" t="str">
        <f>HYPERLINK("http://cgn.websites.wur.nl/website/pictures/Special_collection_CGNSC002/Adults/TKI 324 (2016-05-31).JPG","Yes")</f>
        <v>Yes</v>
      </c>
      <c r="F310" s="33" t="str">
        <f>HYPERLINK("http://cgn.websites.wur.nl/website/pictures/Special_collection_CGNSC002/Flowers/TKI 324 (2016-06-23).JPG","Yes")</f>
        <v>Yes</v>
      </c>
      <c r="G310" s="33" t="str">
        <f>HYPERLINK("http://cgn.websites.wur.nl/website/pictures/Special_collection_CGNSC002/Seeds/TKI 324 (2017-01-25).JPG","Yes")</f>
        <v>Yes</v>
      </c>
      <c r="H310" s="1"/>
      <c r="I310" s="2" t="s">
        <v>599</v>
      </c>
      <c r="J310" s="15">
        <v>130</v>
      </c>
      <c r="K310" s="2" t="s">
        <v>603</v>
      </c>
      <c r="L310" s="2" t="s">
        <v>1877</v>
      </c>
      <c r="M310" s="2"/>
      <c r="N310" s="37" t="s">
        <v>2206</v>
      </c>
    </row>
    <row r="311" spans="1:14" x14ac:dyDescent="0.25">
      <c r="A311" s="6" t="s">
        <v>450</v>
      </c>
      <c r="B311" s="2" t="s">
        <v>591</v>
      </c>
      <c r="C311" s="2">
        <v>2016</v>
      </c>
      <c r="D311" s="32" t="str">
        <f>HYPERLINK("http://cgn.websites.wur.nl/website/pictures/Special_collection_CGNSC002/Juveniles/TKI 325 (2016-05-03).JPG","Yes")</f>
        <v>Yes</v>
      </c>
      <c r="E311" s="34" t="str">
        <f>HYPERLINK("http://cgn.websites.wur.nl/website/pictures/Special_collection_CGNSC002/Adults/TKI 325 (2016-05-31).JPG","Yes")</f>
        <v>Yes</v>
      </c>
      <c r="F311" s="33"/>
      <c r="G311" s="33" t="str">
        <f>HYPERLINK("http://cgn.websites.wur.nl/website/pictures/Special_collection_CGNSC002/Seeds/TKI 325 (2017-01-25).JPG","Yes")</f>
        <v>Yes</v>
      </c>
      <c r="H311" s="1"/>
      <c r="I311" s="2" t="s">
        <v>600</v>
      </c>
      <c r="J311" s="15">
        <v>153</v>
      </c>
      <c r="K311" s="2"/>
      <c r="L311" s="2" t="s">
        <v>1877</v>
      </c>
      <c r="M311" s="2"/>
      <c r="N311" s="37" t="s">
        <v>2207</v>
      </c>
    </row>
    <row r="312" spans="1:14" x14ac:dyDescent="0.25">
      <c r="A312" s="6" t="s">
        <v>451</v>
      </c>
      <c r="B312" s="2" t="s">
        <v>591</v>
      </c>
      <c r="C312" s="2">
        <v>2016</v>
      </c>
      <c r="D312" s="32" t="str">
        <f>HYPERLINK("http://cgn.websites.wur.nl/website/pictures/Special_collection_CGNSC002/Juveniles/TKI 326 (2016-05-03).JPG","Yes")</f>
        <v>Yes</v>
      </c>
      <c r="E312" s="34" t="str">
        <f>HYPERLINK("http://cgn.websites.wur.nl/website/pictures/Special_collection_CGNSC002/Adults/TKI 326 (2016-05-31).JPG","Yes")</f>
        <v>Yes</v>
      </c>
      <c r="F312" s="33"/>
      <c r="G312" s="33" t="str">
        <f>HYPERLINK("http://cgn.websites.wur.nl/website/pictures/Special_collection_CGNSC002/Seeds/TKI 326 (2017-01-25).JPG","Yes")</f>
        <v>Yes</v>
      </c>
      <c r="H312" s="1"/>
      <c r="I312" s="2" t="s">
        <v>600</v>
      </c>
      <c r="J312" s="15">
        <v>137</v>
      </c>
      <c r="K312" s="2"/>
      <c r="L312" s="2" t="s">
        <v>1877</v>
      </c>
      <c r="M312" s="2"/>
      <c r="N312" s="37" t="s">
        <v>2208</v>
      </c>
    </row>
    <row r="313" spans="1:14" x14ac:dyDescent="0.25">
      <c r="A313" s="6" t="s">
        <v>452</v>
      </c>
      <c r="B313" s="2" t="s">
        <v>591</v>
      </c>
      <c r="C313" s="2">
        <v>2016</v>
      </c>
      <c r="D313" s="32" t="str">
        <f>HYPERLINK("http://cgn.websites.wur.nl/website/pictures/Special_collection_CGNSC002/Juveniles/TKI 327 (2016-05-03).JPG","Yes")</f>
        <v>Yes</v>
      </c>
      <c r="E313" s="34" t="str">
        <f>HYPERLINK("http://cgn.websites.wur.nl/website/pictures/Special_collection_CGNSC002/Adults/TKI 327 (2016-05-31).JPG","Yes")</f>
        <v>Yes</v>
      </c>
      <c r="F313" s="33" t="str">
        <f>HYPERLINK("http://cgn.websites.wur.nl/website/pictures/Special_collection_CGNSC002/Flowers/TKI 327 (2016-08-08).JPG","Yes")</f>
        <v>Yes</v>
      </c>
      <c r="G313" s="33" t="str">
        <f>HYPERLINK("http://cgn.websites.wur.nl/website/pictures/Special_collection_CGNSC002/Seeds/TKI 327 (2017-01-25).JPG","Yes")</f>
        <v>Yes</v>
      </c>
      <c r="H313" s="1"/>
      <c r="I313" s="2" t="s">
        <v>600</v>
      </c>
      <c r="J313" s="15">
        <v>153</v>
      </c>
      <c r="K313" s="2"/>
      <c r="L313" s="2" t="s">
        <v>1877</v>
      </c>
      <c r="M313" s="2"/>
      <c r="N313" s="37" t="s">
        <v>2209</v>
      </c>
    </row>
    <row r="314" spans="1:14" x14ac:dyDescent="0.25">
      <c r="A314" s="6" t="s">
        <v>453</v>
      </c>
      <c r="B314" s="2" t="s">
        <v>591</v>
      </c>
      <c r="C314" s="2">
        <v>2016</v>
      </c>
      <c r="D314" s="32" t="str">
        <f>HYPERLINK("http://cgn.websites.wur.nl/website/pictures/Special_collection_CGNSC002/Juveniles/TKI 328 (2016-05-03).JPG","Yes")</f>
        <v>Yes</v>
      </c>
      <c r="E314" s="34" t="str">
        <f>HYPERLINK("http://cgn.websites.wur.nl/website/pictures/Special_collection_CGNSC002/Adults/TKI 328 (2016-05-31).JPG","Yes")</f>
        <v>Yes</v>
      </c>
      <c r="F314" s="33" t="str">
        <f>HYPERLINK("http://cgn.websites.wur.nl/website/pictures/Special_collection_CGNSC002/Flowers/TKI 328 (2016-08-15).JPG","Yes")</f>
        <v>Yes</v>
      </c>
      <c r="G314" s="33" t="str">
        <f>HYPERLINK("http://cgn.websites.wur.nl/website/pictures/Special_collection_CGNSC002/Seeds/TKI 328 (2017-01-25).JPG","Yes")</f>
        <v>Yes</v>
      </c>
      <c r="H314" s="1"/>
      <c r="I314" s="2" t="s">
        <v>600</v>
      </c>
      <c r="J314" s="15">
        <v>158</v>
      </c>
      <c r="K314" s="2"/>
      <c r="L314" s="2" t="s">
        <v>1877</v>
      </c>
      <c r="M314" s="2"/>
      <c r="N314" s="37" t="s">
        <v>2210</v>
      </c>
    </row>
    <row r="315" spans="1:14" x14ac:dyDescent="0.25">
      <c r="A315" s="6" t="s">
        <v>454</v>
      </c>
      <c r="B315" s="2" t="s">
        <v>591</v>
      </c>
      <c r="C315" s="2">
        <v>2016</v>
      </c>
      <c r="D315" s="32" t="str">
        <f>HYPERLINK("http://cgn.websites.wur.nl/website/pictures/Special_collection_CGNSC002/Juveniles/TKI 329 (2016-05-03).JPG","Yes")</f>
        <v>Yes</v>
      </c>
      <c r="E315" s="34" t="str">
        <f>HYPERLINK("http://cgn.websites.wur.nl/website/pictures/Special_collection_CGNSC002/Adults/TKI 329 (2016-05-31).JPG","Yes")</f>
        <v>Yes</v>
      </c>
      <c r="F315" s="33"/>
      <c r="G315" s="33" t="str">
        <f>HYPERLINK("http://cgn.websites.wur.nl/website/pictures/Special_collection_CGNSC002/Seeds/TKI 329 (2017-01-25).JPG","Yes")</f>
        <v>Yes</v>
      </c>
      <c r="H315" s="1"/>
      <c r="I315" s="2" t="s">
        <v>599</v>
      </c>
      <c r="J315" s="15">
        <v>144</v>
      </c>
      <c r="K315" s="2"/>
      <c r="L315" s="2" t="s">
        <v>1877</v>
      </c>
      <c r="M315" s="2"/>
      <c r="N315" s="37" t="s">
        <v>2211</v>
      </c>
    </row>
    <row r="316" spans="1:14" x14ac:dyDescent="0.25">
      <c r="A316" s="6" t="s">
        <v>455</v>
      </c>
      <c r="B316" s="2" t="s">
        <v>591</v>
      </c>
      <c r="C316" s="2">
        <v>2016</v>
      </c>
      <c r="D316" s="32" t="str">
        <f>HYPERLINK("http://cgn.websites.wur.nl/website/pictures/Special_collection_CGNSC002/Juveniles/TKI 330 (2016-05-03).JPG","Yes")</f>
        <v>Yes</v>
      </c>
      <c r="E316" s="34" t="str">
        <f>HYPERLINK("http://cgn.websites.wur.nl/website/pictures/Special_collection_CGNSC002/Adults/TKI 330 (2016-05-31).JPG","Yes")</f>
        <v>Yes</v>
      </c>
      <c r="F316" s="33"/>
      <c r="G316" s="33" t="str">
        <f>HYPERLINK("http://cgn.websites.wur.nl/website/pictures/Special_collection_CGNSC002/Seeds/TKI 330 (2017-01-25).JPG","Yes")</f>
        <v>Yes</v>
      </c>
      <c r="H316" s="1"/>
      <c r="I316" s="2" t="s">
        <v>600</v>
      </c>
      <c r="J316" s="15">
        <v>144</v>
      </c>
      <c r="K316" s="2"/>
      <c r="L316" s="2" t="s">
        <v>1877</v>
      </c>
      <c r="M316" s="2"/>
      <c r="N316" s="37" t="s">
        <v>2212</v>
      </c>
    </row>
    <row r="317" spans="1:14" x14ac:dyDescent="0.25">
      <c r="A317" s="6" t="s">
        <v>456</v>
      </c>
      <c r="B317" s="2" t="s">
        <v>591</v>
      </c>
      <c r="C317" s="2">
        <v>2016</v>
      </c>
      <c r="D317" s="32" t="str">
        <f>HYPERLINK("http://cgn.websites.wur.nl/website/pictures/Special_collection_CGNSC002/Juveniles/TKI 331 (2016-05-03).JPG","Yes")</f>
        <v>Yes</v>
      </c>
      <c r="E317" s="34" t="str">
        <f>HYPERLINK("http://cgn.websites.wur.nl/website/pictures/Special_collection_CGNSC002/Adults/TKI 331 (2016-05-31).JPG","Yes")</f>
        <v>Yes</v>
      </c>
      <c r="F317" s="33" t="str">
        <f>HYPERLINK("http://cgn.websites.wur.nl/website/pictures/Special_collection_CGNSC002/Flowers/TKI 331 (2016-08-08).JPG","Yes")</f>
        <v>Yes</v>
      </c>
      <c r="G317" s="33" t="str">
        <f>HYPERLINK("http://cgn.websites.wur.nl/website/pictures/Special_collection_CGNSC002/Seeds/TKI 331 (2016-11-24).JPG","Yes")</f>
        <v>Yes</v>
      </c>
      <c r="H317" s="1"/>
      <c r="I317" s="2" t="s">
        <v>600</v>
      </c>
      <c r="J317" s="15">
        <v>137</v>
      </c>
      <c r="K317" s="2"/>
      <c r="L317" s="2" t="s">
        <v>1877</v>
      </c>
      <c r="M317" s="2"/>
      <c r="N317" s="37" t="s">
        <v>2213</v>
      </c>
    </row>
    <row r="318" spans="1:14" x14ac:dyDescent="0.25">
      <c r="A318" s="6" t="s">
        <v>457</v>
      </c>
      <c r="B318" s="2" t="s">
        <v>591</v>
      </c>
      <c r="C318" s="2">
        <v>2016</v>
      </c>
      <c r="D318" s="32" t="str">
        <f>HYPERLINK("http://cgn.websites.wur.nl/website/pictures/Special_collection_CGNSC002/Juveniles/TKI 332 (2016-05-03).JPG","Yes")</f>
        <v>Yes</v>
      </c>
      <c r="E318" s="34" t="str">
        <f>HYPERLINK("http://cgn.websites.wur.nl/website/pictures/Special_collection_CGNSC002/Adults/TKI 332 (2016-05-31).JPG","Yes")</f>
        <v>Yes</v>
      </c>
      <c r="F318" s="33" t="str">
        <f>HYPERLINK("http://cgn.websites.wur.nl/website/pictures/Special_collection_CGNSC002/Flowers/TKI 332 (2016-08-01).JPG","Yes")</f>
        <v>Yes</v>
      </c>
      <c r="G318" s="33" t="str">
        <f>HYPERLINK("http://cgn.websites.wur.nl/website/pictures/Special_collection_CGNSC002/Seeds/TKI 332 (2016-11-24).JPG","Yes")</f>
        <v>Yes</v>
      </c>
      <c r="H318" s="1"/>
      <c r="I318" s="2" t="s">
        <v>600</v>
      </c>
      <c r="J318" s="15">
        <v>137</v>
      </c>
      <c r="K318" s="2"/>
      <c r="L318" s="2" t="s">
        <v>1877</v>
      </c>
      <c r="M318" s="2"/>
      <c r="N318" s="37" t="s">
        <v>2214</v>
      </c>
    </row>
    <row r="319" spans="1:14" x14ac:dyDescent="0.25">
      <c r="A319" s="6" t="s">
        <v>458</v>
      </c>
      <c r="B319" s="2" t="s">
        <v>591</v>
      </c>
      <c r="C319" s="2">
        <v>2016</v>
      </c>
      <c r="D319" s="32" t="str">
        <f>HYPERLINK("http://cgn.websites.wur.nl/website/pictures/Special_collection_CGNSC002/Juveniles/TKI 333 (2016-05-03).JPG","Yes")</f>
        <v>Yes</v>
      </c>
      <c r="E319" s="34" t="str">
        <f>HYPERLINK("http://cgn.websites.wur.nl/website/pictures/Special_collection_CGNSC002/Adults/TKI 333 (2016-05-31).JPG","Yes")</f>
        <v>Yes</v>
      </c>
      <c r="F319" s="33" t="str">
        <f>HYPERLINK("http://cgn.websites.wur.nl/website/pictures/Special_collection_CGNSC002/Flowers/TKI 333 (2016-08-08).JPG","Yes")</f>
        <v>Yes</v>
      </c>
      <c r="G319" s="33" t="str">
        <f>HYPERLINK("http://cgn.websites.wur.nl/website/pictures/Special_collection_CGNSC002/Seeds/TKI 333 (2016-11-24).JPG","Yes")</f>
        <v>Yes</v>
      </c>
      <c r="H319" s="1"/>
      <c r="I319" s="2" t="s">
        <v>599</v>
      </c>
      <c r="J319" s="15">
        <v>144</v>
      </c>
      <c r="K319" s="2"/>
      <c r="L319" s="2" t="s">
        <v>1877</v>
      </c>
      <c r="M319" s="2"/>
      <c r="N319" s="37" t="s">
        <v>2215</v>
      </c>
    </row>
    <row r="320" spans="1:14" x14ac:dyDescent="0.25">
      <c r="A320" s="6" t="s">
        <v>459</v>
      </c>
      <c r="B320" s="2" t="s">
        <v>591</v>
      </c>
      <c r="C320" s="2">
        <v>2016</v>
      </c>
      <c r="D320" s="32" t="str">
        <f>HYPERLINK("http://cgn.websites.wur.nl/website/pictures/Special_collection_CGNSC002/Juveniles/TKI 334 (2016-05-03).JPG","Yes")</f>
        <v>Yes</v>
      </c>
      <c r="E320" s="34" t="str">
        <f>HYPERLINK("http://cgn.websites.wur.nl/website/pictures/Special_collection_CGNSC002/Adults/TKI 334 (2016-05-31).JPG","Yes")</f>
        <v>Yes</v>
      </c>
      <c r="F320" s="33" t="str">
        <f>HYPERLINK("http://cgn.websites.wur.nl/website/pictures/Special_collection_CGNSC002/Flowers/TKI 334 (2016-07-14).JPG","Yes")</f>
        <v>Yes</v>
      </c>
      <c r="G320" s="33" t="str">
        <f>HYPERLINK("http://cgn.websites.wur.nl/website/pictures/Special_collection_CGNSC002/Seeds/TKI 334 (2016-11-24).JPG","Yes")</f>
        <v>Yes</v>
      </c>
      <c r="H320" s="1"/>
      <c r="I320" s="2" t="s">
        <v>600</v>
      </c>
      <c r="J320" s="15">
        <v>158</v>
      </c>
      <c r="K320" s="2"/>
      <c r="L320" s="2" t="s">
        <v>1877</v>
      </c>
      <c r="M320" s="2"/>
      <c r="N320" s="37" t="s">
        <v>2216</v>
      </c>
    </row>
    <row r="321" spans="1:14" x14ac:dyDescent="0.25">
      <c r="A321" s="6" t="s">
        <v>460</v>
      </c>
      <c r="B321" s="2" t="s">
        <v>591</v>
      </c>
      <c r="C321" s="2">
        <v>2016</v>
      </c>
      <c r="D321" s="32" t="str">
        <f>HYPERLINK("http://cgn.websites.wur.nl/website/pictures/Special_collection_CGNSC002/Juveniles/TKI 335 (2016-05-03).JPG","Yes")</f>
        <v>Yes</v>
      </c>
      <c r="E321" s="34" t="str">
        <f>HYPERLINK("http://cgn.websites.wur.nl/website/pictures/Special_collection_CGNSC002/Adults/TKI 335 (2016-05-31).JPG","Yes")</f>
        <v>Yes</v>
      </c>
      <c r="F321" s="33" t="str">
        <f>HYPERLINK("http://cgn.websites.wur.nl/website/pictures/Special_collection_CGNSC002/Flowers/TKI 335 (2016-08-15).JPG","Yes")</f>
        <v>Yes</v>
      </c>
      <c r="G321" s="33" t="str">
        <f>HYPERLINK("http://cgn.websites.wur.nl/website/pictures/Special_collection_CGNSC002/Seeds/TKI 335 (2016-11-24).JPG","Yes")</f>
        <v>Yes</v>
      </c>
      <c r="H321" s="1"/>
      <c r="I321" s="2" t="s">
        <v>599</v>
      </c>
      <c r="J321" s="15">
        <v>144</v>
      </c>
      <c r="K321" s="2"/>
      <c r="L321" s="2" t="s">
        <v>1877</v>
      </c>
      <c r="M321" s="2"/>
      <c r="N321" s="37" t="s">
        <v>2217</v>
      </c>
    </row>
    <row r="322" spans="1:14" x14ac:dyDescent="0.25">
      <c r="A322" s="6" t="s">
        <v>461</v>
      </c>
      <c r="B322" s="2" t="s">
        <v>591</v>
      </c>
      <c r="C322" s="2">
        <v>2016</v>
      </c>
      <c r="D322" s="32" t="str">
        <f>HYPERLINK("http://cgn.websites.wur.nl/website/pictures/Special_collection_CGNSC002/Juveniles/TKI 336 (2016-05-03).JPG","Yes")</f>
        <v>Yes</v>
      </c>
      <c r="E322" s="34" t="str">
        <f>HYPERLINK("http://cgn.websites.wur.nl/website/pictures/Special_collection_CGNSC002/Adults/TKI 336 (2016-05-31).JPG","Yes")</f>
        <v>Yes</v>
      </c>
      <c r="F322" s="33" t="str">
        <f>HYPERLINK("http://cgn.websites.wur.nl/website/pictures/Special_collection_CGNSC002/Flowers/TKI 336 (2016-08-01).JPG","Yes")</f>
        <v>Yes</v>
      </c>
      <c r="G322" s="33" t="str">
        <f>HYPERLINK("http://cgn.websites.wur.nl/website/pictures/Special_collection_CGNSC002/Seeds/TKI 336 (2016-11-24).JPG","Yes")</f>
        <v>Yes</v>
      </c>
      <c r="H322" s="1"/>
      <c r="I322" s="2" t="s">
        <v>599</v>
      </c>
      <c r="J322" s="15">
        <v>137</v>
      </c>
      <c r="K322" s="2"/>
      <c r="L322" s="2" t="s">
        <v>1877</v>
      </c>
      <c r="M322" s="2"/>
      <c r="N322" s="37" t="s">
        <v>2218</v>
      </c>
    </row>
    <row r="323" spans="1:14" x14ac:dyDescent="0.25">
      <c r="A323" s="6" t="s">
        <v>462</v>
      </c>
      <c r="B323" s="2" t="s">
        <v>591</v>
      </c>
      <c r="C323" s="2">
        <v>2016</v>
      </c>
      <c r="D323" s="32" t="str">
        <f>HYPERLINK("http://cgn.websites.wur.nl/website/pictures/Special_collection_CGNSC002/Juveniles/TKI 337 (2016-05-03).JPG","Yes")</f>
        <v>Yes</v>
      </c>
      <c r="E323" s="34" t="str">
        <f>HYPERLINK("http://cgn.websites.wur.nl/website/pictures/Special_collection_CGNSC002/Adults/TKI 337 (2016-05-31).JPG","Yes")</f>
        <v>Yes</v>
      </c>
      <c r="F323" s="33"/>
      <c r="G323" s="33" t="str">
        <f>HYPERLINK("http://cgn.websites.wur.nl/website/pictures/Special_collection_CGNSC002/Seeds/TKI 337 (2016-11-24).JPG","Yes")</f>
        <v>Yes</v>
      </c>
      <c r="H323" s="1"/>
      <c r="I323" s="2" t="s">
        <v>600</v>
      </c>
      <c r="J323" s="15">
        <v>147</v>
      </c>
      <c r="K323" s="2"/>
      <c r="L323" s="2" t="s">
        <v>1877</v>
      </c>
      <c r="M323" s="2"/>
      <c r="N323" s="37" t="s">
        <v>2219</v>
      </c>
    </row>
    <row r="324" spans="1:14" x14ac:dyDescent="0.25">
      <c r="A324" s="6" t="s">
        <v>463</v>
      </c>
      <c r="B324" s="2" t="s">
        <v>591</v>
      </c>
      <c r="C324" s="2">
        <v>2016</v>
      </c>
      <c r="D324" s="32" t="str">
        <f>HYPERLINK("http://cgn.websites.wur.nl/website/pictures/Special_collection_CGNSC002/Juveniles/TKI 338 (2016-05-03).JPG","Yes")</f>
        <v>Yes</v>
      </c>
      <c r="E324" s="34" t="str">
        <f>HYPERLINK("http://cgn.websites.wur.nl/website/pictures/Special_collection_CGNSC002/Adults/TKI 338 (2016-05-31).JPG","Yes")</f>
        <v>Yes</v>
      </c>
      <c r="F324" s="33" t="str">
        <f>HYPERLINK("http://cgn.websites.wur.nl/website/pictures/Special_collection_CGNSC002/Flowers/TKI 338 (2016-08-15).JPG","Yes")</f>
        <v>Yes</v>
      </c>
      <c r="G324" s="33" t="str">
        <f>HYPERLINK("http://cgn.websites.wur.nl/website/pictures/Special_collection_CGNSC002/Seeds/TKI 338 (2016-11-24).JPG","Yes")</f>
        <v>Yes</v>
      </c>
      <c r="H324" s="1"/>
      <c r="I324" s="2" t="s">
        <v>599</v>
      </c>
      <c r="J324" s="15">
        <v>158</v>
      </c>
      <c r="K324" s="2"/>
      <c r="L324" s="2" t="s">
        <v>1876</v>
      </c>
      <c r="M324" s="2" t="s">
        <v>1875</v>
      </c>
      <c r="N324" s="37" t="s">
        <v>2220</v>
      </c>
    </row>
    <row r="325" spans="1:14" x14ac:dyDescent="0.25">
      <c r="A325" s="6" t="s">
        <v>464</v>
      </c>
      <c r="B325" s="2" t="s">
        <v>591</v>
      </c>
      <c r="C325" s="2">
        <v>2016</v>
      </c>
      <c r="D325" s="32" t="str">
        <f>HYPERLINK("http://cgn.websites.wur.nl/website/pictures/Special_collection_CGNSC002/Juveniles/TKI 339 (2016-05-03).JPG","Yes")</f>
        <v>Yes</v>
      </c>
      <c r="E325" s="34" t="str">
        <f>HYPERLINK("http://cgn.websites.wur.nl/website/pictures/Special_collection_CGNSC002/Adults/TKI 339 (2016-05-31).JPG","Yes")</f>
        <v>Yes</v>
      </c>
      <c r="F325" s="33" t="str">
        <f>HYPERLINK("http://cgn.websites.wur.nl/website/pictures/Special_collection_CGNSC002/Flowers/TKI 339 (2016-08-08).JPG","Yes")</f>
        <v>Yes</v>
      </c>
      <c r="G325" s="33" t="str">
        <f>HYPERLINK("http://cgn.websites.wur.nl/website/pictures/Special_collection_CGNSC002/Seeds/TKI 339 (2016-11-24).JPG","Yes")</f>
        <v>Yes</v>
      </c>
      <c r="H325" s="1"/>
      <c r="I325" s="2" t="s">
        <v>600</v>
      </c>
      <c r="J325" s="15">
        <v>144</v>
      </c>
      <c r="K325" s="2"/>
      <c r="L325" s="2" t="s">
        <v>1876</v>
      </c>
      <c r="M325" s="2" t="s">
        <v>1875</v>
      </c>
      <c r="N325" s="37" t="s">
        <v>2221</v>
      </c>
    </row>
    <row r="326" spans="1:14" x14ac:dyDescent="0.25">
      <c r="A326" s="6" t="s">
        <v>465</v>
      </c>
      <c r="B326" s="2" t="s">
        <v>591</v>
      </c>
      <c r="C326" s="2">
        <v>2016</v>
      </c>
      <c r="D326" s="32" t="str">
        <f>HYPERLINK("http://cgn.websites.wur.nl/website/pictures/Special_collection_CGNSC002/Juveniles/TKI 340 (2016-05-03).JPG","Yes")</f>
        <v>Yes</v>
      </c>
      <c r="E326" s="34" t="str">
        <f>HYPERLINK("http://cgn.websites.wur.nl/website/pictures/Special_collection_CGNSC002/Adults/TKI 340 (2016-05-31).JPG","Yes")</f>
        <v>Yes</v>
      </c>
      <c r="F326" s="33"/>
      <c r="G326" s="33" t="str">
        <f>HYPERLINK("http://cgn.websites.wur.nl/website/pictures/Special_collection_CGNSC002/Seeds/TKI 340 (2016-11-24).JPG","Yes")</f>
        <v>Yes</v>
      </c>
      <c r="H326" s="1"/>
      <c r="I326" s="2" t="s">
        <v>600</v>
      </c>
      <c r="J326" s="15">
        <v>144</v>
      </c>
      <c r="K326" s="2"/>
      <c r="L326" s="2" t="s">
        <v>1876</v>
      </c>
      <c r="M326" s="2" t="s">
        <v>1875</v>
      </c>
      <c r="N326" s="37" t="s">
        <v>2222</v>
      </c>
    </row>
    <row r="327" spans="1:14" x14ac:dyDescent="0.25">
      <c r="A327" s="6" t="s">
        <v>466</v>
      </c>
      <c r="B327" s="2" t="s">
        <v>591</v>
      </c>
      <c r="C327" s="2">
        <v>2016</v>
      </c>
      <c r="D327" s="32" t="str">
        <f>HYPERLINK("http://cgn.websites.wur.nl/website/pictures/Special_collection_CGNSC002/Juveniles/TKI 341 (2016-05-04).JPG","Yes")</f>
        <v>Yes</v>
      </c>
      <c r="E327" s="34" t="str">
        <f>HYPERLINK("http://cgn.websites.wur.nl/website/pictures/Special_collection_CGNSC002/Adults/TKI 341 (2016-05-30).JPG","Yes")</f>
        <v>Yes</v>
      </c>
      <c r="F327" s="33" t="str">
        <f>HYPERLINK("http://cgn.websites.wur.nl/website/pictures/Special_collection_CGNSC002/Flowers/TKI 341 (2016-08-01).JPG","Yes")</f>
        <v>Yes</v>
      </c>
      <c r="G327" s="33" t="str">
        <f>HYPERLINK("http://cgn.websites.wur.nl/website/pictures/Special_collection_CGNSC002/Seeds/TKI 341 (2016-11-24).JPG","Yes")</f>
        <v>Yes</v>
      </c>
      <c r="H327" s="1"/>
      <c r="I327" s="2" t="s">
        <v>600</v>
      </c>
      <c r="J327" s="15">
        <v>172</v>
      </c>
      <c r="K327" s="2"/>
      <c r="L327" s="2" t="s">
        <v>1877</v>
      </c>
      <c r="M327" s="2"/>
      <c r="N327" s="37" t="s">
        <v>2223</v>
      </c>
    </row>
    <row r="328" spans="1:14" x14ac:dyDescent="0.25">
      <c r="A328" s="6" t="s">
        <v>467</v>
      </c>
      <c r="B328" s="2" t="s">
        <v>591</v>
      </c>
      <c r="C328" s="2">
        <v>2016</v>
      </c>
      <c r="D328" s="32" t="str">
        <f>HYPERLINK("http://cgn.websites.wur.nl/website/pictures/Special_collection_CGNSC002/Juveniles/TKI 342 (2016-05-04).JPG","Yes")</f>
        <v>Yes</v>
      </c>
      <c r="E328" s="34" t="str">
        <f>HYPERLINK("http://cgn.websites.wur.nl/website/pictures/Special_collection_CGNSC002/Adults/TKI 342 (2016-05-30).JPG","Yes")</f>
        <v>Yes</v>
      </c>
      <c r="F328" s="33" t="str">
        <f>HYPERLINK("http://cgn.websites.wur.nl/website/pictures/Special_collection_CGNSC002/Flowers/TKI 342 (2016-07-14).JPG","Yes")</f>
        <v>Yes</v>
      </c>
      <c r="G328" s="33" t="str">
        <f>HYPERLINK("http://cgn.websites.wur.nl/website/pictures/Special_collection_CGNSC002/Seeds/TKI 342 (2016-11-24).JPG","Yes")</f>
        <v>Yes</v>
      </c>
      <c r="H328" s="1"/>
      <c r="I328" s="2" t="s">
        <v>600</v>
      </c>
      <c r="J328" s="15">
        <v>158</v>
      </c>
      <c r="K328" s="2"/>
      <c r="L328" s="2" t="s">
        <v>1876</v>
      </c>
      <c r="M328" s="2" t="s">
        <v>1875</v>
      </c>
      <c r="N328" s="37" t="s">
        <v>2224</v>
      </c>
    </row>
    <row r="329" spans="1:14" x14ac:dyDescent="0.25">
      <c r="A329" s="6" t="s">
        <v>468</v>
      </c>
      <c r="B329" s="2" t="s">
        <v>591</v>
      </c>
      <c r="C329" s="2">
        <v>2016</v>
      </c>
      <c r="D329" s="32" t="str">
        <f>HYPERLINK("http://cgn.websites.wur.nl/website/pictures/Special_collection_CGNSC002/Juveniles/TKI 343 (2016-05-04).JPG","Yes")</f>
        <v>Yes</v>
      </c>
      <c r="E329" s="34" t="str">
        <f>HYPERLINK("http://cgn.websites.wur.nl/website/pictures/Special_collection_CGNSC002/Adults/TKI 343 (2016-05-30).JPG","Yes")</f>
        <v>Yes</v>
      </c>
      <c r="F329" s="33" t="str">
        <f>HYPERLINK("http://cgn.websites.wur.nl/website/pictures/Special_collection_CGNSC002/Flowers/TKI 343 (2016-08-04).JPG","Yes")</f>
        <v>Yes</v>
      </c>
      <c r="G329" s="33" t="str">
        <f>HYPERLINK("http://cgn.websites.wur.nl/website/pictures/Special_collection_CGNSC002/Seeds/TKI 343 (2016-11-24).JPG","Yes")</f>
        <v>Yes</v>
      </c>
      <c r="H329" s="1"/>
      <c r="I329" s="2" t="s">
        <v>600</v>
      </c>
      <c r="J329" s="15">
        <v>172</v>
      </c>
      <c r="K329" s="2"/>
      <c r="L329" s="2" t="s">
        <v>1876</v>
      </c>
      <c r="M329" s="2" t="s">
        <v>1875</v>
      </c>
      <c r="N329" s="37" t="s">
        <v>2225</v>
      </c>
    </row>
    <row r="330" spans="1:14" x14ac:dyDescent="0.25">
      <c r="A330" s="6" t="s">
        <v>469</v>
      </c>
      <c r="B330" s="2" t="s">
        <v>591</v>
      </c>
      <c r="C330" s="2">
        <v>2016</v>
      </c>
      <c r="D330" s="32" t="str">
        <f>HYPERLINK("http://cgn.websites.wur.nl/website/pictures/Special_collection_CGNSC002/Juveniles/TKI 344 (2016-05-04).JPG","Yes")</f>
        <v>Yes</v>
      </c>
      <c r="E330" s="34" t="str">
        <f>HYPERLINK("http://cgn.websites.wur.nl/website/pictures/Special_collection_CGNSC002/Adults/TKI 344 (2016-05-30).JPG","Yes")</f>
        <v>Yes</v>
      </c>
      <c r="F330" s="33" t="str">
        <f>HYPERLINK("http://cgn.websites.wur.nl/website/pictures/Special_collection_CGNSC002/Flowers/TKI 344 (2016-07-28).JPG","Yes")</f>
        <v>Yes</v>
      </c>
      <c r="G330" s="33" t="str">
        <f>HYPERLINK("http://cgn.websites.wur.nl/website/pictures/Special_collection_CGNSC002/Seeds/TKI 344 (2016-11-24).JPG","Yes")</f>
        <v>Yes</v>
      </c>
      <c r="H330" s="1"/>
      <c r="I330" s="2" t="s">
        <v>600</v>
      </c>
      <c r="J330" s="15">
        <v>158</v>
      </c>
      <c r="K330" s="2"/>
      <c r="L330" s="2" t="s">
        <v>1876</v>
      </c>
      <c r="M330" s="2" t="s">
        <v>1875</v>
      </c>
      <c r="N330" s="37" t="s">
        <v>2226</v>
      </c>
    </row>
    <row r="331" spans="1:14" x14ac:dyDescent="0.25">
      <c r="A331" s="6" t="s">
        <v>470</v>
      </c>
      <c r="B331" s="2" t="s">
        <v>591</v>
      </c>
      <c r="C331" s="2">
        <v>2016</v>
      </c>
      <c r="D331" s="32" t="str">
        <f>HYPERLINK("http://cgn.websites.wur.nl/website/pictures/Special_collection_CGNSC002/Juveniles/TKI 345 (2016-05-04).JPG","Yes")</f>
        <v>Yes</v>
      </c>
      <c r="E331" s="34" t="str">
        <f>HYPERLINK("http://cgn.websites.wur.nl/website/pictures/Special_collection_CGNSC002/Adults/TKI 345 (2016-05-30).JPG","Yes")</f>
        <v>Yes</v>
      </c>
      <c r="F331" s="33" t="str">
        <f>HYPERLINK("http://cgn.websites.wur.nl/website/pictures/Special_collection_CGNSC002/Flowers/TKI 345 (2016-08-01).JPG","Yes")</f>
        <v>Yes</v>
      </c>
      <c r="G331" s="33" t="str">
        <f>HYPERLINK("http://cgn.websites.wur.nl/website/pictures/Special_collection_CGNSC002/Seeds/TKI 345 (2016-11-24).JPG","Yes")</f>
        <v>Yes</v>
      </c>
      <c r="H331" s="1"/>
      <c r="I331" s="2" t="s">
        <v>600</v>
      </c>
      <c r="J331" s="15">
        <v>172</v>
      </c>
      <c r="K331" s="2"/>
      <c r="L331" s="2" t="s">
        <v>1876</v>
      </c>
      <c r="M331" s="2" t="s">
        <v>1875</v>
      </c>
      <c r="N331" s="37" t="s">
        <v>2227</v>
      </c>
    </row>
    <row r="332" spans="1:14" x14ac:dyDescent="0.25">
      <c r="A332" s="6" t="s">
        <v>471</v>
      </c>
      <c r="B332" s="2" t="s">
        <v>591</v>
      </c>
      <c r="C332" s="2">
        <v>2016</v>
      </c>
      <c r="D332" s="32" t="str">
        <f>HYPERLINK("http://cgn.websites.wur.nl/website/pictures/Special_collection_CGNSC002/Juveniles/TKI 347 (2016-05-04).JPG","Yes")</f>
        <v>Yes</v>
      </c>
      <c r="E332" s="34" t="str">
        <f>HYPERLINK("http://cgn.websites.wur.nl/website/pictures/Special_collection_CGNSC002/Adults/TKI 347 (2016-05-30).JPG","Yes")</f>
        <v>Yes</v>
      </c>
      <c r="F332" s="33" t="str">
        <f>HYPERLINK("http://cgn.websites.wur.nl/website/pictures/Special_collection_CGNSC002/Flowers/TKI 347 (2016-08-04).JPG","Yes")</f>
        <v>Yes</v>
      </c>
      <c r="G332" s="33" t="str">
        <f>HYPERLINK("http://cgn.websites.wur.nl/website/pictures/Special_collection_CGNSC002/Seeds/TKI 347 (2016-11-24).JPG","Yes")</f>
        <v>Yes</v>
      </c>
      <c r="H332" s="1"/>
      <c r="I332" s="2" t="s">
        <v>600</v>
      </c>
      <c r="J332" s="15">
        <v>172</v>
      </c>
      <c r="K332" s="2"/>
      <c r="L332" s="2" t="s">
        <v>1877</v>
      </c>
      <c r="M332" s="2"/>
      <c r="N332" s="37" t="s">
        <v>2228</v>
      </c>
    </row>
    <row r="333" spans="1:14" x14ac:dyDescent="0.25">
      <c r="A333" s="6" t="s">
        <v>472</v>
      </c>
      <c r="B333" s="2" t="s">
        <v>591</v>
      </c>
      <c r="C333" s="2">
        <v>2016</v>
      </c>
      <c r="D333" s="32" t="str">
        <f>HYPERLINK("http://cgn.websites.wur.nl/website/pictures/Special_collection_CGNSC002/Juveniles/TKI 348 (2016-05-04).JPG","Yes")</f>
        <v>Yes</v>
      </c>
      <c r="E333" s="34" t="str">
        <f>HYPERLINK("http://cgn.websites.wur.nl/website/pictures/Special_collection_CGNSC002/Adults/TKI 348 (2016-05-30).JPG","Yes")</f>
        <v>Yes</v>
      </c>
      <c r="F333" s="33" t="str">
        <f>HYPERLINK("http://cgn.websites.wur.nl/website/pictures/Special_collection_CGNSC002/Flowers/TKI 348 (2016-09-26).JPG","Yes")</f>
        <v>Yes</v>
      </c>
      <c r="G333" s="33" t="str">
        <f>HYPERLINK("http://cgn.websites.wur.nl/website/pictures/Special_collection_CGNSC002/Seeds/TKI 348 (2016-11-24).JPG","Yes")</f>
        <v>Yes</v>
      </c>
      <c r="H333" s="1"/>
      <c r="I333" s="2" t="s">
        <v>600</v>
      </c>
      <c r="J333" s="15">
        <v>186</v>
      </c>
      <c r="K333" s="2"/>
      <c r="L333" s="2" t="s">
        <v>1877</v>
      </c>
      <c r="M333" s="2"/>
      <c r="N333" s="37" t="s">
        <v>2229</v>
      </c>
    </row>
    <row r="334" spans="1:14" x14ac:dyDescent="0.25">
      <c r="A334" s="6" t="s">
        <v>473</v>
      </c>
      <c r="B334" s="2" t="s">
        <v>591</v>
      </c>
      <c r="C334" s="2">
        <v>2016</v>
      </c>
      <c r="D334" s="32" t="str">
        <f>HYPERLINK("http://cgn.websites.wur.nl/website/pictures/Special_collection_CGNSC002/Juveniles/TKI 351 (2016-05-04).JPG","Yes")</f>
        <v>Yes</v>
      </c>
      <c r="E334" s="34" t="str">
        <f>HYPERLINK("http://cgn.websites.wur.nl/website/pictures/Special_collection_CGNSC002/Adults/TKI 351 (2016-05-30).JPG","Yes")</f>
        <v>Yes</v>
      </c>
      <c r="F334" s="33"/>
      <c r="G334" s="33" t="str">
        <f>HYPERLINK("http://cgn.websites.wur.nl/website/pictures/Special_collection_CGNSC002/Seeds/TKI 351 (2016-11-24).JPG","Yes")</f>
        <v>Yes</v>
      </c>
      <c r="H334" s="1"/>
      <c r="I334" s="2" t="s">
        <v>600</v>
      </c>
      <c r="J334" s="15">
        <v>179</v>
      </c>
      <c r="K334" s="2"/>
      <c r="L334" s="2" t="s">
        <v>1877</v>
      </c>
      <c r="M334" s="2"/>
      <c r="N334" s="37" t="s">
        <v>2230</v>
      </c>
    </row>
    <row r="335" spans="1:14" x14ac:dyDescent="0.25">
      <c r="A335" s="6" t="s">
        <v>474</v>
      </c>
      <c r="B335" s="2" t="s">
        <v>591</v>
      </c>
      <c r="C335" s="2">
        <v>2016</v>
      </c>
      <c r="D335" s="32" t="str">
        <f>HYPERLINK("http://cgn.websites.wur.nl/website/pictures/Special_collection_CGNSC002/Juveniles/TKI 353 (2016-05-04).JPG","Yes")</f>
        <v>Yes</v>
      </c>
      <c r="E335" s="34" t="str">
        <f>HYPERLINK("http://cgn.websites.wur.nl/website/pictures/Special_collection_CGNSC002/Adults/TKI 353 (2016-05-30).JPG","Yes")</f>
        <v>Yes</v>
      </c>
      <c r="F335" s="33" t="str">
        <f>HYPERLINK("http://cgn.websites.wur.nl/website/pictures/Special_collection_CGNSC002/Flowers/TKI 353 (2016-08-04).JPG","Yes")</f>
        <v>Yes</v>
      </c>
      <c r="G335" s="33" t="str">
        <f>HYPERLINK("http://cgn.websites.wur.nl/website/pictures/Special_collection_CGNSC002/Seeds/TKI 353 (2016-11-24).JPG","Yes")</f>
        <v>Yes</v>
      </c>
      <c r="H335" s="1"/>
      <c r="I335" s="2" t="s">
        <v>600</v>
      </c>
      <c r="J335" s="15">
        <v>172</v>
      </c>
      <c r="K335" s="2"/>
      <c r="L335" s="2" t="s">
        <v>1877</v>
      </c>
      <c r="M335" s="2"/>
      <c r="N335" s="37" t="s">
        <v>2231</v>
      </c>
    </row>
    <row r="336" spans="1:14" x14ac:dyDescent="0.25">
      <c r="A336" s="6" t="s">
        <v>475</v>
      </c>
      <c r="B336" s="2" t="s">
        <v>591</v>
      </c>
      <c r="C336" s="2">
        <v>2016</v>
      </c>
      <c r="D336" s="32" t="str">
        <f>HYPERLINK("http://cgn.websites.wur.nl/website/pictures/Special_collection_CGNSC002/Juveniles/TKI 354 (2016-05-04).JPG","Yes")</f>
        <v>Yes</v>
      </c>
      <c r="E336" s="34" t="str">
        <f>HYPERLINK("http://cgn.websites.wur.nl/website/pictures/Special_collection_CGNSC002/Adults/TKI 354 (2016-05-30).JPG","Yes")</f>
        <v>Yes</v>
      </c>
      <c r="F336" s="33" t="str">
        <f>HYPERLINK("http://cgn.websites.wur.nl/website/pictures/Special_collection_CGNSC002/Flowers/TKI 354 (2016-08-04).JPG","Yes")</f>
        <v>Yes</v>
      </c>
      <c r="G336" s="33" t="str">
        <f>HYPERLINK("http://cgn.websites.wur.nl/website/pictures/Special_collection_CGNSC002/Seeds/TKI 354 (2016-11-24).JPG","Yes")</f>
        <v>Yes</v>
      </c>
      <c r="H336" s="1"/>
      <c r="I336" s="2" t="s">
        <v>600</v>
      </c>
      <c r="J336" s="15">
        <v>172</v>
      </c>
      <c r="K336" s="2"/>
      <c r="L336" s="2" t="s">
        <v>1877</v>
      </c>
      <c r="M336" s="2"/>
      <c r="N336" s="37" t="s">
        <v>2232</v>
      </c>
    </row>
    <row r="337" spans="1:14" x14ac:dyDescent="0.25">
      <c r="A337" s="6" t="s">
        <v>476</v>
      </c>
      <c r="B337" s="2" t="s">
        <v>591</v>
      </c>
      <c r="C337" s="2">
        <v>2016</v>
      </c>
      <c r="D337" s="32" t="str">
        <f>HYPERLINK("http://cgn.websites.wur.nl/website/pictures/Special_collection_CGNSC002/Juveniles/TKI 355 (2016-05-04).JPG","Yes")</f>
        <v>Yes</v>
      </c>
      <c r="E337" s="34" t="str">
        <f>HYPERLINK("http://cgn.websites.wur.nl/website/pictures/Special_collection_CGNSC002/Adults/TKI 355 (2016-05-30).JPG","Yes")</f>
        <v>Yes</v>
      </c>
      <c r="F337" s="33"/>
      <c r="G337" s="33" t="str">
        <f>HYPERLINK("http://cgn.websites.wur.nl/website/pictures/Special_collection_CGNSC002/Seeds/TKI 355 (2016-11-24).JPG","Yes")</f>
        <v>Yes</v>
      </c>
      <c r="H337" s="1"/>
      <c r="I337" s="2" t="s">
        <v>600</v>
      </c>
      <c r="J337" s="15">
        <v>158</v>
      </c>
      <c r="K337" s="2"/>
      <c r="L337" s="2" t="s">
        <v>1876</v>
      </c>
      <c r="M337" s="2" t="s">
        <v>1875</v>
      </c>
      <c r="N337" s="37" t="s">
        <v>2233</v>
      </c>
    </row>
    <row r="338" spans="1:14" x14ac:dyDescent="0.25">
      <c r="A338" s="6" t="s">
        <v>477</v>
      </c>
      <c r="B338" s="2" t="s">
        <v>591</v>
      </c>
      <c r="C338" s="2">
        <v>2016</v>
      </c>
      <c r="D338" s="32" t="str">
        <f>HYPERLINK("http://cgn.websites.wur.nl/website/pictures/Special_collection_CGNSC002/Juveniles/TKI 356 (2016-05-04).JPG","Yes")</f>
        <v>Yes</v>
      </c>
      <c r="E338" s="34" t="str">
        <f>HYPERLINK("http://cgn.websites.wur.nl/website/pictures/Special_collection_CGNSC002/Adults/TKI 356 (2016-05-30).JPG","Yes")</f>
        <v>Yes</v>
      </c>
      <c r="F338" s="33"/>
      <c r="G338" s="33" t="str">
        <f>HYPERLINK("http://cgn.websites.wur.nl/website/pictures/Special_collection_CGNSC002/Seeds/TKI 356 (2016-11-24).JPG","Yes")</f>
        <v>Yes</v>
      </c>
      <c r="H338" s="1"/>
      <c r="I338" s="2" t="s">
        <v>600</v>
      </c>
      <c r="J338" s="15">
        <v>166</v>
      </c>
      <c r="K338" s="2"/>
      <c r="L338" s="2" t="s">
        <v>1877</v>
      </c>
      <c r="M338" s="2"/>
      <c r="N338" s="37" t="s">
        <v>2234</v>
      </c>
    </row>
    <row r="339" spans="1:14" x14ac:dyDescent="0.25">
      <c r="A339" s="6" t="s">
        <v>478</v>
      </c>
      <c r="B339" s="2" t="s">
        <v>591</v>
      </c>
      <c r="C339" s="2">
        <v>2016</v>
      </c>
      <c r="D339" s="32" t="str">
        <f>HYPERLINK("http://cgn.websites.wur.nl/website/pictures/Special_collection_CGNSC002/Juveniles/TKI 357 (2016-05-04).JPG","Yes")</f>
        <v>Yes</v>
      </c>
      <c r="E339" s="34" t="str">
        <f>HYPERLINK("http://cgn.websites.wur.nl/website/pictures/Special_collection_CGNSC002/Adults/TKI 357 (2016-05-30).JPG","Yes")</f>
        <v>Yes</v>
      </c>
      <c r="F339" s="33" t="str">
        <f>HYPERLINK("http://cgn.websites.wur.nl/website/pictures/Special_collection_CGNSC002/Flowers/TKI 357 (2016-08-04).JPG","Yes")</f>
        <v>Yes</v>
      </c>
      <c r="G339" s="33" t="str">
        <f>HYPERLINK("http://cgn.websites.wur.nl/website/pictures/Special_collection_CGNSC002/Seeds/TKI 357 (2016-11-24).JPG","Yes")</f>
        <v>Yes</v>
      </c>
      <c r="H339" s="1"/>
      <c r="I339" s="2" t="s">
        <v>600</v>
      </c>
      <c r="J339" s="15">
        <v>158</v>
      </c>
      <c r="K339" s="2"/>
      <c r="L339" s="2" t="s">
        <v>1877</v>
      </c>
      <c r="M339" s="2"/>
      <c r="N339" s="37" t="s">
        <v>2235</v>
      </c>
    </row>
    <row r="340" spans="1:14" x14ac:dyDescent="0.25">
      <c r="A340" s="6" t="s">
        <v>479</v>
      </c>
      <c r="B340" s="2" t="s">
        <v>591</v>
      </c>
      <c r="C340" s="2">
        <v>2016</v>
      </c>
      <c r="D340" s="32" t="str">
        <f>HYPERLINK("http://cgn.websites.wur.nl/website/pictures/Special_collection_CGNSC002/Juveniles/TKI 358 (2016-05-04).JPG","Yes")</f>
        <v>Yes</v>
      </c>
      <c r="E340" s="34" t="str">
        <f>HYPERLINK("http://cgn.websites.wur.nl/website/pictures/Special_collection_CGNSC002/Adults/TKI 358 (2016-05-30).JPG","Yes")</f>
        <v>Yes</v>
      </c>
      <c r="F340" s="33" t="str">
        <f>HYPERLINK("http://cgn.websites.wur.nl/website/pictures/Special_collection_CGNSC002/Flowers/TKI 358 (2016-08-01).JPG","Yes")</f>
        <v>Yes</v>
      </c>
      <c r="G340" s="33" t="str">
        <f>HYPERLINK("http://cgn.websites.wur.nl/website/pictures/Special_collection_CGNSC002/Seeds/TKI 358 (2016-12-07).JPG","Yes")</f>
        <v>Yes</v>
      </c>
      <c r="H340" s="1"/>
      <c r="I340" s="2" t="s">
        <v>600</v>
      </c>
      <c r="J340" s="15">
        <v>153</v>
      </c>
      <c r="K340" s="2"/>
      <c r="L340" s="2" t="s">
        <v>1877</v>
      </c>
      <c r="M340" s="2"/>
      <c r="N340" s="37" t="s">
        <v>2236</v>
      </c>
    </row>
    <row r="341" spans="1:14" x14ac:dyDescent="0.25">
      <c r="A341" s="6" t="s">
        <v>480</v>
      </c>
      <c r="B341" s="2" t="s">
        <v>591</v>
      </c>
      <c r="C341" s="2">
        <v>2016</v>
      </c>
      <c r="D341" s="32" t="str">
        <f>HYPERLINK("http://cgn.websites.wur.nl/website/pictures/Special_collection_CGNSC002/Juveniles/TKI 360 (2016-05-04).JPG","Yes")</f>
        <v>Yes</v>
      </c>
      <c r="E341" s="34" t="str">
        <f>HYPERLINK("http://cgn.websites.wur.nl/website/pictures/Special_collection_CGNSC002/Adults/TKI 360 (2016-05-30).JPG","Yes")</f>
        <v>Yes</v>
      </c>
      <c r="F341" s="33" t="str">
        <f>HYPERLINK("http://cgn.websites.wur.nl/website/pictures/Special_collection_CGNSC002/Flowers/TKI 360 (2016-09-26).JPG","Yes")</f>
        <v>Yes</v>
      </c>
      <c r="G341" s="33" t="str">
        <f>HYPERLINK("http://cgn.websites.wur.nl/website/pictures/Special_collection_CGNSC002/Seeds/TKI 360 (2016-12-07).JPG","Yes")</f>
        <v>Yes</v>
      </c>
      <c r="H341" s="1"/>
      <c r="I341" s="2" t="s">
        <v>600</v>
      </c>
      <c r="J341" s="15">
        <v>159</v>
      </c>
      <c r="K341" s="2"/>
      <c r="L341" s="2" t="s">
        <v>1877</v>
      </c>
      <c r="M341" s="2"/>
      <c r="N341" s="37" t="s">
        <v>2237</v>
      </c>
    </row>
    <row r="342" spans="1:14" x14ac:dyDescent="0.25">
      <c r="A342" s="6" t="s">
        <v>481</v>
      </c>
      <c r="B342" s="2" t="s">
        <v>591</v>
      </c>
      <c r="C342" s="2">
        <v>2016</v>
      </c>
      <c r="D342" s="32" t="str">
        <f>HYPERLINK("http://cgn.websites.wur.nl/website/pictures/Special_collection_CGNSC002/Juveniles/TKI 362 (2016-05-04).JPG","Yes")</f>
        <v>Yes</v>
      </c>
      <c r="E342" s="34" t="str">
        <f>HYPERLINK("http://cgn.websites.wur.nl/website/pictures/Special_collection_CGNSC002/Adults/TKI 362 (2016-05-30).JPG","Yes")</f>
        <v>Yes</v>
      </c>
      <c r="F342" s="33"/>
      <c r="G342" s="33" t="str">
        <f>HYPERLINK("http://cgn.websites.wur.nl/website/pictures/Special_collection_CGNSC002/Seeds/TKI 362 (2016-12-07).JPG","Yes")</f>
        <v>Yes</v>
      </c>
      <c r="H342" s="1"/>
      <c r="I342" s="2" t="s">
        <v>600</v>
      </c>
      <c r="J342" s="15">
        <v>172</v>
      </c>
      <c r="K342" s="2"/>
      <c r="L342" s="2" t="s">
        <v>1877</v>
      </c>
      <c r="M342" s="2"/>
      <c r="N342" s="37" t="s">
        <v>2238</v>
      </c>
    </row>
    <row r="343" spans="1:14" x14ac:dyDescent="0.25">
      <c r="A343" s="6" t="s">
        <v>482</v>
      </c>
      <c r="B343" s="2" t="s">
        <v>591</v>
      </c>
      <c r="C343" s="2">
        <v>2016</v>
      </c>
      <c r="D343" s="32" t="str">
        <f>HYPERLINK("http://cgn.websites.wur.nl/website/pictures/Special_collection_CGNSC002/Juveniles/TKI 364 (2016-05-04).JPG","Yes")</f>
        <v>Yes</v>
      </c>
      <c r="E343" s="34" t="str">
        <f>HYPERLINK("http://cgn.websites.wur.nl/website/pictures/Special_collection_CGNSC002/Adults/TKI 364 (2016-05-30).JPG","Yes")</f>
        <v>Yes</v>
      </c>
      <c r="F343" s="33"/>
      <c r="G343" s="33" t="str">
        <f>HYPERLINK("http://cgn.websites.wur.nl/website/pictures/Special_collection_CGNSC002/Seeds/TKI 364 (2016-12-07).JPG","Yes")</f>
        <v>Yes</v>
      </c>
      <c r="H343" s="1"/>
      <c r="I343" s="2" t="s">
        <v>600</v>
      </c>
      <c r="J343" s="15">
        <v>166</v>
      </c>
      <c r="K343" s="2"/>
      <c r="L343" s="2" t="s">
        <v>1876</v>
      </c>
      <c r="M343" s="2" t="s">
        <v>1875</v>
      </c>
      <c r="N343" s="37" t="s">
        <v>2239</v>
      </c>
    </row>
    <row r="344" spans="1:14" x14ac:dyDescent="0.25">
      <c r="A344" s="6" t="s">
        <v>483</v>
      </c>
      <c r="B344" s="2" t="s">
        <v>591</v>
      </c>
      <c r="C344" s="2">
        <v>2016</v>
      </c>
      <c r="D344" s="32" t="str">
        <f>HYPERLINK("http://cgn.websites.wur.nl/website/pictures/Special_collection_CGNSC002/Juveniles/TKI 365 (2016-05-04).JPG","Yes")</f>
        <v>Yes</v>
      </c>
      <c r="E344" s="34" t="str">
        <f>HYPERLINK("http://cgn.websites.wur.nl/website/pictures/Special_collection_CGNSC002/Adults/TKI 365 (2016-05-30).JPG","Yes")</f>
        <v>Yes</v>
      </c>
      <c r="F344" s="33" t="str">
        <f>HYPERLINK("http://cgn.websites.wur.nl/website/pictures/Special_collection_CGNSC002/Flowers/TKI 365 (2016-08-04).JPG","Yes")</f>
        <v>Yes</v>
      </c>
      <c r="G344" s="33" t="str">
        <f>HYPERLINK("http://cgn.websites.wur.nl/website/pictures/Special_collection_CGNSC002/Seeds/TKI 365 (2016-12-07).JPG","Yes")</f>
        <v>Yes</v>
      </c>
      <c r="H344" s="1"/>
      <c r="I344" s="2" t="s">
        <v>600</v>
      </c>
      <c r="J344" s="15">
        <v>166</v>
      </c>
      <c r="K344" s="2"/>
      <c r="L344" s="2" t="s">
        <v>1877</v>
      </c>
      <c r="M344" s="2"/>
      <c r="N344" s="37" t="s">
        <v>2240</v>
      </c>
    </row>
    <row r="345" spans="1:14" x14ac:dyDescent="0.25">
      <c r="A345" s="6" t="s">
        <v>484</v>
      </c>
      <c r="B345" s="2" t="s">
        <v>591</v>
      </c>
      <c r="C345" s="2">
        <v>2016</v>
      </c>
      <c r="D345" s="32" t="str">
        <f>HYPERLINK("http://cgn.websites.wur.nl/website/pictures/Special_collection_CGNSC002/Juveniles/TKI 366 (2016-05-04).JPG","Yes")</f>
        <v>Yes</v>
      </c>
      <c r="E345" s="34" t="str">
        <f>HYPERLINK("http://cgn.websites.wur.nl/website/pictures/Special_collection_CGNSC002/Adults/TKI 366 (2016-05-30).JPG","Yes")</f>
        <v>Yes</v>
      </c>
      <c r="F345" s="33" t="str">
        <f>HYPERLINK("http://cgn.websites.wur.nl/website/pictures/Special_collection_CGNSC002/Flowers/TKI 366 (2016-09-26).JPG","Yes")</f>
        <v>Yes</v>
      </c>
      <c r="G345" s="33" t="str">
        <f>HYPERLINK("http://cgn.websites.wur.nl/website/pictures/Special_collection_CGNSC002/Seeds/TKI 366 (2016-12-07).JPG","Yes")</f>
        <v>Yes</v>
      </c>
      <c r="H345" s="1"/>
      <c r="I345" s="2" t="s">
        <v>600</v>
      </c>
      <c r="J345" s="15">
        <v>166</v>
      </c>
      <c r="K345" s="2"/>
      <c r="L345" s="2" t="s">
        <v>1876</v>
      </c>
      <c r="M345" s="2" t="s">
        <v>1875</v>
      </c>
      <c r="N345" s="37" t="s">
        <v>2241</v>
      </c>
    </row>
    <row r="346" spans="1:14" x14ac:dyDescent="0.25">
      <c r="A346" s="6" t="s">
        <v>485</v>
      </c>
      <c r="B346" s="2" t="s">
        <v>591</v>
      </c>
      <c r="C346" s="2">
        <v>2016</v>
      </c>
      <c r="D346" s="32" t="str">
        <f>HYPERLINK("http://cgn.websites.wur.nl/website/pictures/Special_collection_CGNSC002/Juveniles/TKI 367 (2016-05-04).JPG","Yes")</f>
        <v>Yes</v>
      </c>
      <c r="E346" s="34" t="str">
        <f>HYPERLINK("http://cgn.websites.wur.nl/website/pictures/Special_collection_CGNSC002/Adults/TKI 367 (2016-05-30).JPG","Yes")</f>
        <v>Yes</v>
      </c>
      <c r="F346" s="33"/>
      <c r="G346" s="33" t="str">
        <f>HYPERLINK("http://cgn.websites.wur.nl/website/pictures/Special_collection_CGNSC002/Seeds/TKI 367 (2016-12-07).JPG","Yes")</f>
        <v>Yes</v>
      </c>
      <c r="H346" s="1"/>
      <c r="I346" s="2" t="s">
        <v>600</v>
      </c>
      <c r="J346" s="15">
        <v>172</v>
      </c>
      <c r="K346" s="2"/>
      <c r="L346" s="2" t="s">
        <v>1877</v>
      </c>
      <c r="M346" s="2"/>
      <c r="N346" s="37" t="s">
        <v>2242</v>
      </c>
    </row>
    <row r="347" spans="1:14" x14ac:dyDescent="0.25">
      <c r="A347" s="6" t="s">
        <v>486</v>
      </c>
      <c r="B347" s="2" t="s">
        <v>591</v>
      </c>
      <c r="C347" s="2">
        <v>2016</v>
      </c>
      <c r="D347" s="32" t="str">
        <f>HYPERLINK("http://cgn.websites.wur.nl/website/pictures/Special_collection_CGNSC002/Juveniles/TKI 368 (2016-05-04).JPG","Yes")</f>
        <v>Yes</v>
      </c>
      <c r="E347" s="34" t="str">
        <f>HYPERLINK("http://cgn.websites.wur.nl/website/pictures/Special_collection_CGNSC002/Adults/TKI 368 (2016-05-30).JPG","Yes")</f>
        <v>Yes</v>
      </c>
      <c r="F347" s="33"/>
      <c r="G347" s="33" t="str">
        <f>HYPERLINK("http://cgn.websites.wur.nl/website/pictures/Special_collection_CGNSC002/Seeds/TKI 368 (2016-12-07).JPG","Yes")</f>
        <v>Yes</v>
      </c>
      <c r="H347" s="1"/>
      <c r="I347" s="2" t="s">
        <v>600</v>
      </c>
      <c r="J347" s="15">
        <v>186</v>
      </c>
      <c r="K347" s="2"/>
      <c r="L347" s="2" t="s">
        <v>1877</v>
      </c>
      <c r="M347" s="2"/>
      <c r="N347" s="37" t="s">
        <v>2243</v>
      </c>
    </row>
    <row r="348" spans="1:14" x14ac:dyDescent="0.25">
      <c r="A348" s="6" t="s">
        <v>487</v>
      </c>
      <c r="B348" s="2" t="s">
        <v>591</v>
      </c>
      <c r="C348" s="2">
        <v>2016</v>
      </c>
      <c r="D348" s="32" t="str">
        <f>HYPERLINK("http://cgn.websites.wur.nl/website/pictures/Special_collection_CGNSC002/Juveniles/TKI 369 (2016-05-04).JPG","Yes")</f>
        <v>Yes</v>
      </c>
      <c r="E348" s="34" t="str">
        <f>HYPERLINK("http://cgn.websites.wur.nl/website/pictures/Special_collection_CGNSC002/Adults/TKI 369 (2016-05-30).JPG","Yes")</f>
        <v>Yes</v>
      </c>
      <c r="F348" s="33"/>
      <c r="G348" s="33" t="str">
        <f>HYPERLINK("http://cgn.websites.wur.nl/website/pictures/Special_collection_CGNSC002/Seeds/TKI 369 (2016-12-07).JPG","Yes")</f>
        <v>Yes</v>
      </c>
      <c r="H348" s="1"/>
      <c r="I348" s="2" t="s">
        <v>600</v>
      </c>
      <c r="J348" s="15">
        <v>179</v>
      </c>
      <c r="K348" s="2"/>
      <c r="L348" s="2" t="s">
        <v>1876</v>
      </c>
      <c r="M348" s="2" t="s">
        <v>1875</v>
      </c>
      <c r="N348" s="37" t="s">
        <v>2244</v>
      </c>
    </row>
    <row r="349" spans="1:14" x14ac:dyDescent="0.25">
      <c r="A349" s="6" t="s">
        <v>488</v>
      </c>
      <c r="B349" s="2" t="s">
        <v>591</v>
      </c>
      <c r="C349" s="2">
        <v>2016</v>
      </c>
      <c r="D349" s="32" t="str">
        <f>HYPERLINK("http://cgn.websites.wur.nl/website/pictures/Special_collection_CGNSC002/Juveniles/TKI 371 (2016-05-04).JPG","Yes")</f>
        <v>Yes</v>
      </c>
      <c r="E349" s="34" t="str">
        <f>HYPERLINK("http://cgn.websites.wur.nl/website/pictures/Special_collection_CGNSC002/Adults/TKI 371 (2016-05-30).JPG","Yes")</f>
        <v>Yes</v>
      </c>
      <c r="F349" s="33" t="str">
        <f>HYPERLINK("http://cgn.websites.wur.nl/website/pictures/Special_collection_CGNSC002/Flowers/TKI 371 (2016-08-04).JPG","Yes")</f>
        <v>Yes</v>
      </c>
      <c r="G349" s="33" t="str">
        <f>HYPERLINK("http://cgn.websites.wur.nl/website/pictures/Special_collection_CGNSC002/Seeds/TKI 371 (2016-12-07).JPG","Yes")</f>
        <v>Yes</v>
      </c>
      <c r="H349" s="1"/>
      <c r="I349" s="2" t="s">
        <v>600</v>
      </c>
      <c r="J349" s="15">
        <v>166</v>
      </c>
      <c r="K349" s="2"/>
      <c r="L349" s="2" t="s">
        <v>1877</v>
      </c>
      <c r="M349" s="2"/>
      <c r="N349" s="37" t="s">
        <v>2245</v>
      </c>
    </row>
    <row r="350" spans="1:14" x14ac:dyDescent="0.25">
      <c r="A350" s="6" t="s">
        <v>489</v>
      </c>
      <c r="B350" s="2" t="s">
        <v>591</v>
      </c>
      <c r="C350" s="2">
        <v>2016</v>
      </c>
      <c r="D350" s="32" t="str">
        <f>HYPERLINK("http://cgn.websites.wur.nl/website/pictures/Special_collection_CGNSC002/Juveniles/TKI 372 (2016-05-04).JPG","Yes")</f>
        <v>Yes</v>
      </c>
      <c r="E350" s="34" t="str">
        <f>HYPERLINK("http://cgn.websites.wur.nl/website/pictures/Special_collection_CGNSC002/Adults/TKI 372 (2016-05-30).JPG","Yes")</f>
        <v>Yes</v>
      </c>
      <c r="F350" s="33"/>
      <c r="G350" s="33" t="str">
        <f>HYPERLINK("http://cgn.websites.wur.nl/website/pictures/Special_collection_CGNSC002/Seeds/TKI 372 (2016-12-07).JPG","Yes")</f>
        <v>Yes</v>
      </c>
      <c r="H350" s="1"/>
      <c r="I350" s="2" t="s">
        <v>600</v>
      </c>
      <c r="J350" s="15">
        <v>186</v>
      </c>
      <c r="K350" s="2"/>
      <c r="L350" s="2" t="s">
        <v>1877</v>
      </c>
      <c r="M350" s="2"/>
      <c r="N350" s="37" t="s">
        <v>2246</v>
      </c>
    </row>
    <row r="351" spans="1:14" x14ac:dyDescent="0.25">
      <c r="A351" s="6" t="s">
        <v>490</v>
      </c>
      <c r="B351" s="2" t="s">
        <v>591</v>
      </c>
      <c r="C351" s="2">
        <v>2016</v>
      </c>
      <c r="D351" s="32" t="str">
        <f>HYPERLINK("http://cgn.websites.wur.nl/website/pictures/Special_collection_CGNSC002/Juveniles/TKI 373 (2016-05-04).JPG","Yes")</f>
        <v>Yes</v>
      </c>
      <c r="E351" s="34" t="str">
        <f>HYPERLINK("http://cgn.websites.wur.nl/website/pictures/Special_collection_CGNSC002/Adults/TKI 373 (2016-05-30).JPG","Yes")</f>
        <v>Yes</v>
      </c>
      <c r="F351" s="33"/>
      <c r="G351" s="33" t="str">
        <f>HYPERLINK("http://cgn.websites.wur.nl/website/pictures/Special_collection_CGNSC002/Seeds/TKI 373 (2016-12-07).JPG","Yes")</f>
        <v>Yes</v>
      </c>
      <c r="H351" s="1"/>
      <c r="I351" s="2" t="s">
        <v>600</v>
      </c>
      <c r="J351" s="15">
        <v>186</v>
      </c>
      <c r="K351" s="2"/>
      <c r="L351" s="2" t="s">
        <v>1877</v>
      </c>
      <c r="M351" s="2"/>
      <c r="N351" s="37" t="s">
        <v>2247</v>
      </c>
    </row>
    <row r="352" spans="1:14" x14ac:dyDescent="0.25">
      <c r="A352" s="6" t="s">
        <v>491</v>
      </c>
      <c r="B352" s="2" t="s">
        <v>591</v>
      </c>
      <c r="C352" s="2">
        <v>2016</v>
      </c>
      <c r="D352" s="32" t="str">
        <f>HYPERLINK("http://cgn.websites.wur.nl/website/pictures/Special_collection_CGNSC002/Juveniles/TKI 374 (2016-05-04).JPG","Yes")</f>
        <v>Yes</v>
      </c>
      <c r="E352" s="34" t="str">
        <f>HYPERLINK("http://cgn.websites.wur.nl/website/pictures/Special_collection_CGNSC002/Adults/TKI 374 (2016-05-30).JPG","Yes")</f>
        <v>Yes</v>
      </c>
      <c r="F352" s="33" t="str">
        <f>HYPERLINK("http://cgn.websites.wur.nl/website/pictures/Special_collection_CGNSC002/Flowers/TKI 374 (2016-08-04).JPG","Yes")</f>
        <v>Yes</v>
      </c>
      <c r="G352" s="33" t="str">
        <f>HYPERLINK("http://cgn.websites.wur.nl/website/pictures/Special_collection_CGNSC002/Seeds/TKI 374 (2016-12-07).JPG","Yes")</f>
        <v>Yes</v>
      </c>
      <c r="H352" s="1"/>
      <c r="I352" s="2" t="s">
        <v>600</v>
      </c>
      <c r="J352" s="15">
        <v>172</v>
      </c>
      <c r="K352" s="2"/>
      <c r="L352" s="2" t="s">
        <v>1876</v>
      </c>
      <c r="M352" s="2" t="s">
        <v>1875</v>
      </c>
      <c r="N352" s="37" t="s">
        <v>2248</v>
      </c>
    </row>
    <row r="353" spans="1:14" x14ac:dyDescent="0.25">
      <c r="A353" s="6" t="s">
        <v>492</v>
      </c>
      <c r="B353" s="2" t="s">
        <v>591</v>
      </c>
      <c r="C353" s="2">
        <v>2016</v>
      </c>
      <c r="D353" s="32" t="str">
        <f>HYPERLINK("http://cgn.websites.wur.nl/website/pictures/Special_collection_CGNSC002/Juveniles/TKI 375 (2016-05-04).JPG","Yes")</f>
        <v>Yes</v>
      </c>
      <c r="E353" s="34" t="str">
        <f>HYPERLINK("http://cgn.websites.wur.nl/website/pictures/Special_collection_CGNSC002/Adults/TKI 375 (2016-05-30).JPG","Yes")</f>
        <v>Yes</v>
      </c>
      <c r="F353" s="33"/>
      <c r="G353" s="33" t="str">
        <f>HYPERLINK("http://cgn.websites.wur.nl/website/pictures/Special_collection_CGNSC002/Seeds/TKI 375 (2016-12-07).JPG","Yes")</f>
        <v>Yes</v>
      </c>
      <c r="H353" s="1"/>
      <c r="I353" s="2" t="s">
        <v>600</v>
      </c>
      <c r="J353" s="15">
        <v>153</v>
      </c>
      <c r="K353" s="2"/>
      <c r="L353" s="2" t="s">
        <v>1877</v>
      </c>
      <c r="M353" s="2"/>
      <c r="N353" s="37" t="s">
        <v>2249</v>
      </c>
    </row>
    <row r="354" spans="1:14" x14ac:dyDescent="0.25">
      <c r="A354" s="6" t="s">
        <v>493</v>
      </c>
      <c r="B354" s="2" t="s">
        <v>591</v>
      </c>
      <c r="C354" s="2">
        <v>2016</v>
      </c>
      <c r="D354" s="32" t="str">
        <f>HYPERLINK("http://cgn.websites.wur.nl/website/pictures/Special_collection_CGNSC002/Juveniles/TKI 376 (2016-05-04).JPG","Yes")</f>
        <v>Yes</v>
      </c>
      <c r="E354" s="34" t="str">
        <f>HYPERLINK("http://cgn.websites.wur.nl/website/pictures/Special_collection_CGNSC002/Adults/TKI 376 (2016-05-30).JPG","Yes")</f>
        <v>Yes</v>
      </c>
      <c r="F354" s="33" t="str">
        <f>HYPERLINK("http://cgn.websites.wur.nl/website/pictures/Special_collection_CGNSC002/Flowers/TKI 376 (2016-08-04).JPG","Yes")</f>
        <v>Yes</v>
      </c>
      <c r="G354" s="33" t="str">
        <f>HYPERLINK("http://cgn.websites.wur.nl/website/pictures/Special_collection_CGNSC002/Seeds/TKI 376 (2016-12-07).JPG","Yes")</f>
        <v>Yes</v>
      </c>
      <c r="H354" s="1"/>
      <c r="I354" s="2" t="s">
        <v>600</v>
      </c>
      <c r="J354" s="15">
        <v>158</v>
      </c>
      <c r="K354" s="2"/>
      <c r="L354" s="2" t="s">
        <v>1876</v>
      </c>
      <c r="M354" s="2" t="s">
        <v>1875</v>
      </c>
      <c r="N354" s="37" t="s">
        <v>2250</v>
      </c>
    </row>
    <row r="355" spans="1:14" x14ac:dyDescent="0.25">
      <c r="A355" s="6" t="s">
        <v>494</v>
      </c>
      <c r="B355" s="2" t="s">
        <v>591</v>
      </c>
      <c r="C355" s="2">
        <v>2016</v>
      </c>
      <c r="D355" s="32" t="str">
        <f>HYPERLINK("http://cgn.websites.wur.nl/website/pictures/Special_collection_CGNSC002/Juveniles/TKI 378 (2016-05-04).JPG","Yes")</f>
        <v>Yes</v>
      </c>
      <c r="E355" s="34" t="str">
        <f>HYPERLINK("http://cgn.websites.wur.nl/website/pictures/Special_collection_CGNSC002/Adults/TKI 378 (2016-05-30).JPG","Yes")</f>
        <v>Yes</v>
      </c>
      <c r="F355" s="33"/>
      <c r="G355" s="33" t="str">
        <f>HYPERLINK("http://cgn.websites.wur.nl/website/pictures/Special_collection_CGNSC002/Seeds/TKI 378 (2016-12-07).JPG","Yes")</f>
        <v>Yes</v>
      </c>
      <c r="H355" s="1"/>
      <c r="I355" s="2" t="s">
        <v>600</v>
      </c>
      <c r="J355" s="15">
        <v>172</v>
      </c>
      <c r="K355" s="2"/>
      <c r="L355" s="2" t="s">
        <v>1877</v>
      </c>
      <c r="M355" s="2"/>
      <c r="N355" s="37" t="s">
        <v>2251</v>
      </c>
    </row>
    <row r="356" spans="1:14" x14ac:dyDescent="0.25">
      <c r="A356" s="6" t="s">
        <v>495</v>
      </c>
      <c r="B356" s="2" t="s">
        <v>591</v>
      </c>
      <c r="C356" s="2">
        <v>2016</v>
      </c>
      <c r="D356" s="32" t="str">
        <f>HYPERLINK("http://cgn.websites.wur.nl/website/pictures/Special_collection_CGNSC002/Juveniles/TKI 380 (2016-05-04).JPG","Yes")</f>
        <v>Yes</v>
      </c>
      <c r="E356" s="34" t="str">
        <f>HYPERLINK("http://cgn.websites.wur.nl/website/pictures/Special_collection_CGNSC002/Adults/TKI 380 (2016-05-30).JPG","Yes")</f>
        <v>Yes</v>
      </c>
      <c r="F356" s="33" t="str">
        <f>HYPERLINK("http://cgn.websites.wur.nl/website/pictures/Special_collection_CGNSC002/Flowers/TKI 380 (2016-09-08).JPG","Yes")</f>
        <v>Yes</v>
      </c>
      <c r="G356" s="33" t="str">
        <f>HYPERLINK("http://cgn.websites.wur.nl/website/pictures/Special_collection_CGNSC002/Seeds/TKI 380 (2016-12-07).JPG","Yes")</f>
        <v>Yes</v>
      </c>
      <c r="H356" s="1"/>
      <c r="I356" s="2" t="s">
        <v>600</v>
      </c>
      <c r="J356" s="15">
        <v>153</v>
      </c>
      <c r="K356" s="2"/>
      <c r="L356" s="2" t="s">
        <v>1877</v>
      </c>
      <c r="M356" s="2"/>
      <c r="N356" s="37" t="s">
        <v>2252</v>
      </c>
    </row>
    <row r="357" spans="1:14" x14ac:dyDescent="0.25">
      <c r="A357" s="6" t="s">
        <v>496</v>
      </c>
      <c r="B357" s="2" t="s">
        <v>591</v>
      </c>
      <c r="C357" s="2">
        <v>2016</v>
      </c>
      <c r="D357" s="32" t="str">
        <f>HYPERLINK("http://cgn.websites.wur.nl/website/pictures/Special_collection_CGNSC002/Juveniles/TKI 381 (2016-05-04).JPG","Yes")</f>
        <v>Yes</v>
      </c>
      <c r="E357" s="34" t="str">
        <f>HYPERLINK("http://cgn.websites.wur.nl/website/pictures/Special_collection_CGNSC002/Adults/TKI 381 (2016-05-30).JPG","Yes")</f>
        <v>Yes</v>
      </c>
      <c r="F357" s="33"/>
      <c r="G357" s="33" t="str">
        <f>HYPERLINK("http://cgn.websites.wur.nl/website/pictures/Special_collection_CGNSC002/Seeds/TKI 381 (2016-12-07).JPG","Yes")</f>
        <v>Yes</v>
      </c>
      <c r="H357" s="1"/>
      <c r="I357" s="2" t="s">
        <v>600</v>
      </c>
      <c r="J357" s="15">
        <v>153</v>
      </c>
      <c r="K357" s="2"/>
      <c r="L357" s="2" t="s">
        <v>1877</v>
      </c>
      <c r="M357" s="2"/>
      <c r="N357" s="37" t="s">
        <v>2253</v>
      </c>
    </row>
    <row r="358" spans="1:14" x14ac:dyDescent="0.25">
      <c r="A358" s="6" t="s">
        <v>497</v>
      </c>
      <c r="B358" s="2" t="s">
        <v>591</v>
      </c>
      <c r="C358" s="2">
        <v>2016</v>
      </c>
      <c r="D358" s="32" t="str">
        <f>HYPERLINK("http://cgn.websites.wur.nl/website/pictures/Special_collection_CGNSC002/Juveniles/TKI 382 (2016-05-04).JPG","Yes")</f>
        <v>Yes</v>
      </c>
      <c r="E358" s="34" t="str">
        <f>HYPERLINK("http://cgn.websites.wur.nl/website/pictures/Special_collection_CGNSC002/Adults/TKI 382 (2016-05-30).JPG","Yes")</f>
        <v>Yes</v>
      </c>
      <c r="F358" s="33"/>
      <c r="G358" s="33" t="str">
        <f>HYPERLINK("http://cgn.websites.wur.nl/website/pictures/Special_collection_CGNSC002/Seeds/TKI 382 (2016-12-07).JPG","Yes")</f>
        <v>Yes</v>
      </c>
      <c r="H358" s="1"/>
      <c r="I358" s="2" t="s">
        <v>600</v>
      </c>
      <c r="J358" s="15">
        <v>158</v>
      </c>
      <c r="K358" s="2"/>
      <c r="L358" s="2" t="s">
        <v>1876</v>
      </c>
      <c r="M358" s="2" t="s">
        <v>1875</v>
      </c>
      <c r="N358" s="37" t="s">
        <v>2254</v>
      </c>
    </row>
    <row r="359" spans="1:14" x14ac:dyDescent="0.25">
      <c r="A359" s="6" t="s">
        <v>498</v>
      </c>
      <c r="B359" s="2" t="s">
        <v>591</v>
      </c>
      <c r="C359" s="2">
        <v>2016</v>
      </c>
      <c r="D359" s="32" t="str">
        <f>HYPERLINK("http://cgn.websites.wur.nl/website/pictures/Special_collection_CGNSC002/Juveniles/TKI 384 (2016-05-04).JPG","Yes")</f>
        <v>Yes</v>
      </c>
      <c r="E359" s="34" t="str">
        <f>HYPERLINK("http://cgn.websites.wur.nl/website/pictures/Special_collection_CGNSC002/Adults/TKI 384 (2016-05-30).JPG","Yes")</f>
        <v>Yes</v>
      </c>
      <c r="F359" s="33" t="str">
        <f>HYPERLINK("http://cgn.websites.wur.nl/website/pictures/Special_collection_CGNSC002/Flowers/TKI 384 (2016-08-04).JPG","Yes")</f>
        <v>Yes</v>
      </c>
      <c r="G359" s="33" t="str">
        <f>HYPERLINK("http://cgn.websites.wur.nl/website/pictures/Special_collection_CGNSC002/Seeds/TKI 384 (2016-12-07).JPG","Yes")</f>
        <v>Yes</v>
      </c>
      <c r="H359" s="1"/>
      <c r="I359" s="2" t="s">
        <v>600</v>
      </c>
      <c r="J359" s="15">
        <v>166</v>
      </c>
      <c r="K359" s="2"/>
      <c r="L359" s="2" t="s">
        <v>1877</v>
      </c>
      <c r="M359" s="2"/>
      <c r="N359" s="37" t="s">
        <v>2255</v>
      </c>
    </row>
    <row r="360" spans="1:14" x14ac:dyDescent="0.25">
      <c r="A360" s="6" t="s">
        <v>499</v>
      </c>
      <c r="B360" s="2" t="s">
        <v>591</v>
      </c>
      <c r="C360" s="2">
        <v>2016</v>
      </c>
      <c r="D360" s="32" t="str">
        <f>HYPERLINK("http://cgn.websites.wur.nl/website/pictures/Special_collection_CGNSC002/Juveniles/TKI 386 (2016-05-04).JPG","Yes")</f>
        <v>Yes</v>
      </c>
      <c r="E360" s="34" t="str">
        <f>HYPERLINK("http://cgn.websites.wur.nl/website/pictures/Special_collection_CGNSC002/Adults/TKI 386 (2016-05-30).JPG","Yes")</f>
        <v>Yes</v>
      </c>
      <c r="F360" s="33" t="str">
        <f>HYPERLINK("http://cgn.websites.wur.nl/website/pictures/Special_collection_CGNSC002/Flowers/TKI 386 (2016-08-04).JPG","Yes")</f>
        <v>Yes</v>
      </c>
      <c r="G360" s="33" t="str">
        <f>HYPERLINK("http://cgn.websites.wur.nl/website/pictures/Special_collection_CGNSC002/Seeds/TKI 386 (2016-12-07).JPG","Yes")</f>
        <v>Yes</v>
      </c>
      <c r="H360" s="1"/>
      <c r="I360" s="2" t="s">
        <v>600</v>
      </c>
      <c r="J360" s="15">
        <v>158</v>
      </c>
      <c r="K360" s="2"/>
      <c r="L360" s="2" t="s">
        <v>1877</v>
      </c>
      <c r="M360" s="2"/>
      <c r="N360" s="37" t="s">
        <v>2256</v>
      </c>
    </row>
    <row r="361" spans="1:14" x14ac:dyDescent="0.25">
      <c r="A361" s="6" t="s">
        <v>500</v>
      </c>
      <c r="B361" s="2" t="s">
        <v>591</v>
      </c>
      <c r="C361" s="2">
        <v>2016</v>
      </c>
      <c r="D361" s="32" t="str">
        <f>HYPERLINK("http://cgn.websites.wur.nl/website/pictures/Special_collection_CGNSC002/Juveniles/TKI 387 (2016-05-04).JPG","Yes")</f>
        <v>Yes</v>
      </c>
      <c r="E361" s="34" t="str">
        <f>HYPERLINK("http://cgn.websites.wur.nl/website/pictures/Special_collection_CGNSC002/Adults/TKI 387 (2016-05-30).JPG","Yes")</f>
        <v>Yes</v>
      </c>
      <c r="F361" s="33" t="str">
        <f>HYPERLINK("http://cgn.websites.wur.nl/website/pictures/Special_collection_CGNSC002/Flowers/TKI 387 (2016-09-26).JPG","Yes")</f>
        <v>Yes</v>
      </c>
      <c r="G361" s="33" t="str">
        <f>HYPERLINK("http://cgn.websites.wur.nl/website/pictures/Special_collection_CGNSC002/Seeds/TKI 387 (2016-12-07).JPG","Yes")</f>
        <v>Yes</v>
      </c>
      <c r="H361" s="1"/>
      <c r="I361" s="2" t="s">
        <v>600</v>
      </c>
      <c r="J361" s="15">
        <v>179</v>
      </c>
      <c r="K361" s="2"/>
      <c r="L361" s="2" t="s">
        <v>1877</v>
      </c>
      <c r="M361" s="2"/>
      <c r="N361" s="37" t="s">
        <v>2257</v>
      </c>
    </row>
    <row r="362" spans="1:14" x14ac:dyDescent="0.25">
      <c r="A362" s="6" t="s">
        <v>501</v>
      </c>
      <c r="B362" s="2" t="s">
        <v>591</v>
      </c>
      <c r="C362" s="2">
        <v>2016</v>
      </c>
      <c r="D362" s="32" t="str">
        <f>HYPERLINK("http://cgn.websites.wur.nl/website/pictures/Special_collection_CGNSC002/Juveniles/TKI 388 (2016-05-04).JPG","Yes")</f>
        <v>Yes</v>
      </c>
      <c r="E362" s="34" t="str">
        <f>HYPERLINK("http://cgn.websites.wur.nl/website/pictures/Special_collection_CGNSC002/Adults/TKI 388 (2016-05-30).JPG","Yes")</f>
        <v>Yes</v>
      </c>
      <c r="F362" s="33" t="str">
        <f>HYPERLINK("http://cgn.websites.wur.nl/website/pictures/Special_collection_CGNSC002/Flowers/TKI 388 (2016-08-08).JPG","Yes")</f>
        <v>Yes</v>
      </c>
      <c r="G362" s="33" t="str">
        <f>HYPERLINK("http://cgn.websites.wur.nl/website/pictures/Special_collection_CGNSC002/Seeds/TKI 388 (2016-12-07).JPG","Yes")</f>
        <v>Yes</v>
      </c>
      <c r="H362" s="1"/>
      <c r="I362" s="2" t="s">
        <v>600</v>
      </c>
      <c r="J362" s="15">
        <v>166</v>
      </c>
      <c r="K362" s="2"/>
      <c r="L362" s="2" t="s">
        <v>1877</v>
      </c>
      <c r="M362" s="2"/>
      <c r="N362" s="37" t="s">
        <v>2258</v>
      </c>
    </row>
    <row r="363" spans="1:14" x14ac:dyDescent="0.25">
      <c r="A363" s="6" t="s">
        <v>502</v>
      </c>
      <c r="B363" s="2" t="s">
        <v>591</v>
      </c>
      <c r="C363" s="2">
        <v>2016</v>
      </c>
      <c r="D363" s="32" t="str">
        <f>HYPERLINK("http://cgn.websites.wur.nl/website/pictures/Special_collection_CGNSC002/Juveniles/TKI 389 (2016-05-04).JPG","Yes")</f>
        <v>Yes</v>
      </c>
      <c r="E363" s="34" t="str">
        <f>HYPERLINK("http://cgn.websites.wur.nl/website/pictures/Special_collection_CGNSC002/Adults/TKI 389 (2016-05-30).JPG","Yes")</f>
        <v>Yes</v>
      </c>
      <c r="F363" s="33" t="str">
        <f>HYPERLINK("http://cgn.websites.wur.nl/website/pictures/Special_collection_CGNSC002/Flowers/TKI 389 (2016-09-08).JPG","Yes")</f>
        <v>Yes</v>
      </c>
      <c r="G363" s="33" t="str">
        <f>HYPERLINK("http://cgn.websites.wur.nl/website/pictures/Special_collection_CGNSC002/Seeds/TKI 389 (2016-12-07).JPG","Yes")</f>
        <v>Yes</v>
      </c>
      <c r="H363" s="1"/>
      <c r="I363" s="2" t="s">
        <v>600</v>
      </c>
      <c r="J363" s="15">
        <v>172</v>
      </c>
      <c r="K363" s="2"/>
      <c r="L363" s="2" t="s">
        <v>1877</v>
      </c>
      <c r="M363" s="2"/>
      <c r="N363" s="37" t="s">
        <v>2259</v>
      </c>
    </row>
    <row r="364" spans="1:14" x14ac:dyDescent="0.25">
      <c r="A364" s="6" t="s">
        <v>503</v>
      </c>
      <c r="B364" s="2" t="s">
        <v>591</v>
      </c>
      <c r="C364" s="2">
        <v>2016</v>
      </c>
      <c r="D364" s="32" t="str">
        <f>HYPERLINK("http://cgn.websites.wur.nl/website/pictures/Special_collection_CGNSC002/Juveniles/TKI 390 (2016-05-04).JPG","Yes")</f>
        <v>Yes</v>
      </c>
      <c r="E364" s="34" t="str">
        <f>HYPERLINK("http://cgn.websites.wur.nl/website/pictures/Special_collection_CGNSC002/Adults/TKI 390 (2016-05-30).JPG","Yes")</f>
        <v>Yes</v>
      </c>
      <c r="F364" s="33"/>
      <c r="G364" s="33" t="str">
        <f>HYPERLINK("http://cgn.websites.wur.nl/website/pictures/Special_collection_CGNSC002/Seeds/TKI 390 (2016-12-07).JPG","Yes")</f>
        <v>Yes</v>
      </c>
      <c r="H364" s="1"/>
      <c r="I364" s="2" t="s">
        <v>600</v>
      </c>
      <c r="J364" s="15">
        <v>186</v>
      </c>
      <c r="K364" s="2"/>
      <c r="L364" s="2" t="s">
        <v>1877</v>
      </c>
      <c r="M364" s="2"/>
      <c r="N364" s="37" t="s">
        <v>2260</v>
      </c>
    </row>
    <row r="365" spans="1:14" x14ac:dyDescent="0.25">
      <c r="A365" s="6" t="s">
        <v>504</v>
      </c>
      <c r="B365" s="2" t="s">
        <v>591</v>
      </c>
      <c r="C365" s="2">
        <v>2016</v>
      </c>
      <c r="D365" s="32" t="str">
        <f>HYPERLINK("http://cgn.websites.wur.nl/website/pictures/Special_collection_CGNSC002/Juveniles/TKI 391 (2016-05-04).JPG","Yes")</f>
        <v>Yes</v>
      </c>
      <c r="E365" s="34" t="str">
        <f>HYPERLINK("http://cgn.websites.wur.nl/website/pictures/Special_collection_CGNSC002/Adults/TKI 391 (2016-05-30).JPG","Yes")</f>
        <v>Yes</v>
      </c>
      <c r="F365" s="33" t="str">
        <f>HYPERLINK("http://cgn.websites.wur.nl/website/pictures/Special_collection_CGNSC002/Flowers/TKI 391 (2016-09-08).JPG","Yes")</f>
        <v>Yes</v>
      </c>
      <c r="G365" s="33" t="str">
        <f>HYPERLINK("http://cgn.websites.wur.nl/website/pictures/Special_collection_CGNSC002/Seeds/TKI 391 (2016-12-07).JPG","Yes")</f>
        <v>Yes</v>
      </c>
      <c r="H365" s="1"/>
      <c r="I365" s="2" t="s">
        <v>600</v>
      </c>
      <c r="J365" s="15">
        <v>166</v>
      </c>
      <c r="K365" s="2"/>
      <c r="L365" s="2" t="s">
        <v>1876</v>
      </c>
      <c r="M365" s="2" t="s">
        <v>1875</v>
      </c>
      <c r="N365" s="37" t="s">
        <v>2261</v>
      </c>
    </row>
    <row r="366" spans="1:14" x14ac:dyDescent="0.25">
      <c r="A366" s="6" t="s">
        <v>505</v>
      </c>
      <c r="B366" s="2" t="s">
        <v>591</v>
      </c>
      <c r="C366" s="2">
        <v>2016</v>
      </c>
      <c r="D366" s="32" t="str">
        <f>HYPERLINK("http://cgn.websites.wur.nl/website/pictures/Special_collection_CGNSC002/Juveniles/TKI 392 (2016-05-04).JPG","Yes")</f>
        <v>Yes</v>
      </c>
      <c r="E366" s="34" t="str">
        <f>HYPERLINK("http://cgn.websites.wur.nl/website/pictures/Special_collection_CGNSC002/Adults/TKI 392 (2016-05-30).JPG","Yes")</f>
        <v>Yes</v>
      </c>
      <c r="F366" s="33" t="str">
        <f>HYPERLINK("http://cgn.websites.wur.nl/website/pictures/Special_collection_CGNSC002/Flowers/TKI 392 (2016-09-12).JPG","Yes")</f>
        <v>Yes</v>
      </c>
      <c r="G366" s="33" t="str">
        <f>HYPERLINK("http://cgn.websites.wur.nl/website/pictures/Special_collection_CGNSC002/Seeds/TKI 392 (2016-12-07).JPG","Yes")</f>
        <v>Yes</v>
      </c>
      <c r="H366" s="1"/>
      <c r="I366" s="2" t="s">
        <v>600</v>
      </c>
      <c r="J366" s="15">
        <v>166</v>
      </c>
      <c r="K366" s="2"/>
      <c r="L366" s="2" t="s">
        <v>1877</v>
      </c>
      <c r="M366" s="2"/>
      <c r="N366" s="37" t="s">
        <v>2262</v>
      </c>
    </row>
    <row r="367" spans="1:14" x14ac:dyDescent="0.25">
      <c r="A367" s="6" t="s">
        <v>506</v>
      </c>
      <c r="B367" s="2" t="s">
        <v>591</v>
      </c>
      <c r="C367" s="2">
        <v>2016</v>
      </c>
      <c r="D367" s="32" t="str">
        <f>HYPERLINK("http://cgn.websites.wur.nl/website/pictures/Special_collection_CGNSC002/Juveniles/TKI 393 (2016-05-04).JPG","Yes")</f>
        <v>Yes</v>
      </c>
      <c r="E367" s="34" t="str">
        <f>HYPERLINK("http://cgn.websites.wur.nl/website/pictures/Special_collection_CGNSC002/Adults/TKI 393 (2016-05-30).JPG","Yes")</f>
        <v>Yes</v>
      </c>
      <c r="F367" s="33"/>
      <c r="G367" s="33" t="str">
        <f>HYPERLINK("http://cgn.websites.wur.nl/website/pictures/Special_collection_CGNSC002/Seeds/TKI 393 (2016-12-07).JPG","Yes")</f>
        <v>Yes</v>
      </c>
      <c r="H367" s="1"/>
      <c r="I367" s="2" t="s">
        <v>600</v>
      </c>
      <c r="J367" s="15">
        <v>166</v>
      </c>
      <c r="K367" s="2"/>
      <c r="L367" s="2" t="s">
        <v>1877</v>
      </c>
      <c r="M367" s="2"/>
      <c r="N367" s="37" t="s">
        <v>2263</v>
      </c>
    </row>
    <row r="368" spans="1:14" x14ac:dyDescent="0.25">
      <c r="A368" s="6" t="s">
        <v>507</v>
      </c>
      <c r="B368" s="2" t="s">
        <v>591</v>
      </c>
      <c r="C368" s="2">
        <v>2016</v>
      </c>
      <c r="D368" s="32" t="str">
        <f>HYPERLINK("http://cgn.websites.wur.nl/website/pictures/Special_collection_CGNSC002/Juveniles/TKI 394 (2016-05-04).JPG","Yes")</f>
        <v>Yes</v>
      </c>
      <c r="E368" s="34" t="str">
        <f>HYPERLINK("http://cgn.websites.wur.nl/website/pictures/Special_collection_CGNSC002/Adults/TKI 394 (2016-05-30).JPG","Yes")</f>
        <v>Yes</v>
      </c>
      <c r="F368" s="33"/>
      <c r="G368" s="33" t="str">
        <f>HYPERLINK("http://cgn.websites.wur.nl/website/pictures/Special_collection_CGNSC002/Seeds/TKI 394 (2016-12-07).JPG","Yes")</f>
        <v>Yes</v>
      </c>
      <c r="H368" s="1"/>
      <c r="I368" s="2" t="s">
        <v>600</v>
      </c>
      <c r="J368" s="15">
        <v>124</v>
      </c>
      <c r="K368" s="2" t="s">
        <v>640</v>
      </c>
      <c r="L368" s="2" t="s">
        <v>1877</v>
      </c>
      <c r="M368" s="2"/>
      <c r="N368" s="37" t="s">
        <v>2264</v>
      </c>
    </row>
    <row r="369" spans="1:14" x14ac:dyDescent="0.25">
      <c r="A369" s="6" t="s">
        <v>508</v>
      </c>
      <c r="B369" s="2" t="s">
        <v>591</v>
      </c>
      <c r="C369" s="2">
        <v>2016</v>
      </c>
      <c r="D369" s="32" t="str">
        <f>HYPERLINK("http://cgn.websites.wur.nl/website/pictures/Special_collection_CGNSC002/Juveniles/TKI 395 (2016-05-04).JPG","Yes")</f>
        <v>Yes</v>
      </c>
      <c r="E369" s="34" t="str">
        <f>HYPERLINK("http://cgn.websites.wur.nl/website/pictures/Special_collection_CGNSC002/Adults/TKI 395 (2016-05-30).JPG","Yes")</f>
        <v>Yes</v>
      </c>
      <c r="F369" s="33"/>
      <c r="G369" s="33" t="str">
        <f>HYPERLINK("http://cgn.websites.wur.nl/website/pictures/Special_collection_CGNSC002/Seeds/TKI 395 (2016-12-07).JPG","Yes")</f>
        <v>Yes</v>
      </c>
      <c r="H369" s="1"/>
      <c r="I369" s="2" t="s">
        <v>600</v>
      </c>
      <c r="J369" s="15">
        <v>166</v>
      </c>
      <c r="K369" s="2" t="s">
        <v>597</v>
      </c>
      <c r="L369" s="2" t="s">
        <v>1876</v>
      </c>
      <c r="M369" s="2" t="s">
        <v>1875</v>
      </c>
      <c r="N369" s="37" t="s">
        <v>2265</v>
      </c>
    </row>
    <row r="370" spans="1:14" x14ac:dyDescent="0.25">
      <c r="A370" s="6" t="s">
        <v>509</v>
      </c>
      <c r="B370" s="2" t="s">
        <v>591</v>
      </c>
      <c r="C370" s="2">
        <v>2016</v>
      </c>
      <c r="D370" s="32" t="str">
        <f>HYPERLINK("http://cgn.websites.wur.nl/website/pictures/Special_collection_CGNSC002/Juveniles/TKI 396 (2016-05-04).JPG","Yes")</f>
        <v>Yes</v>
      </c>
      <c r="E370" s="34" t="str">
        <f>HYPERLINK("http://cgn.websites.wur.nl/website/pictures/Special_collection_CGNSC002/Adults/TKI 396 (2016-05-30).JPG","Yes")</f>
        <v>Yes</v>
      </c>
      <c r="F370" s="33"/>
      <c r="G370" s="33" t="str">
        <f>HYPERLINK("http://cgn.websites.wur.nl/website/pictures/Special_collection_CGNSC002/Seeds/TKI 396 (2016-12-07).JPG","Yes")</f>
        <v>Yes</v>
      </c>
      <c r="H370" s="1"/>
      <c r="I370" s="2" t="s">
        <v>600</v>
      </c>
      <c r="J370" s="15">
        <v>166</v>
      </c>
      <c r="K370" s="2"/>
      <c r="L370" s="2" t="s">
        <v>1877</v>
      </c>
      <c r="M370" s="2"/>
      <c r="N370" s="37" t="s">
        <v>2266</v>
      </c>
    </row>
    <row r="371" spans="1:14" x14ac:dyDescent="0.25">
      <c r="A371" s="6" t="s">
        <v>510</v>
      </c>
      <c r="B371" s="2" t="s">
        <v>591</v>
      </c>
      <c r="C371" s="2">
        <v>2016</v>
      </c>
      <c r="D371" s="32" t="str">
        <f>HYPERLINK("http://cgn.websites.wur.nl/website/pictures/Special_collection_CGNSC002/Juveniles/TKI 398 (2016-05-04).JPG","Yes")</f>
        <v>Yes</v>
      </c>
      <c r="E371" s="34" t="str">
        <f>HYPERLINK("http://cgn.websites.wur.nl/website/pictures/Special_collection_CGNSC002/Adults/TKI 398 (2016-05-30).JPG","Yes")</f>
        <v>Yes</v>
      </c>
      <c r="F371" s="33"/>
      <c r="G371" s="33" t="str">
        <f>HYPERLINK("http://cgn.websites.wur.nl/website/pictures/Special_collection_CGNSC002/Seeds/TKI 398 (2016-12-07).JPG","Yes")</f>
        <v>Yes</v>
      </c>
      <c r="H371" s="1"/>
      <c r="I371" s="2" t="s">
        <v>600</v>
      </c>
      <c r="J371" s="15">
        <v>179</v>
      </c>
      <c r="K371" s="2"/>
      <c r="L371" s="2" t="s">
        <v>1877</v>
      </c>
      <c r="M371" s="2"/>
      <c r="N371" s="37" t="s">
        <v>2267</v>
      </c>
    </row>
    <row r="372" spans="1:14" x14ac:dyDescent="0.25">
      <c r="A372" s="6" t="s">
        <v>511</v>
      </c>
      <c r="B372" s="2" t="s">
        <v>591</v>
      </c>
      <c r="C372" s="2">
        <v>2016</v>
      </c>
      <c r="D372" s="32" t="str">
        <f>HYPERLINK("http://cgn.websites.wur.nl/website/pictures/Special_collection_CGNSC002/Juveniles/TKI 399 (2016-05-04).JPG","Yes")</f>
        <v>Yes</v>
      </c>
      <c r="E372" s="34" t="str">
        <f>HYPERLINK("http://cgn.websites.wur.nl/website/pictures/Special_collection_CGNSC002/Adults/TKI 399 (2016-05-30).JPG","Yes")</f>
        <v>Yes</v>
      </c>
      <c r="F372" s="33" t="str">
        <f>HYPERLINK("http://cgn.websites.wur.nl/website/pictures/Special_collection_CGNSC002/Flowers/TKI 399 (2016-08-08).JPG","Yes")</f>
        <v>Yes</v>
      </c>
      <c r="G372" s="33" t="str">
        <f>HYPERLINK("http://cgn.websites.wur.nl/website/pictures/Special_collection_CGNSC002/Seeds/TKI 399 (2016-11-30).JPG","Yes")</f>
        <v>Yes</v>
      </c>
      <c r="H372" s="1"/>
      <c r="I372" s="2" t="s">
        <v>600</v>
      </c>
      <c r="J372" s="15">
        <v>158</v>
      </c>
      <c r="K372" s="2"/>
      <c r="L372" s="2" t="s">
        <v>1877</v>
      </c>
      <c r="M372" s="2"/>
      <c r="N372" s="37" t="s">
        <v>2268</v>
      </c>
    </row>
    <row r="373" spans="1:14" x14ac:dyDescent="0.25">
      <c r="A373" s="6" t="s">
        <v>512</v>
      </c>
      <c r="B373" s="2" t="s">
        <v>591</v>
      </c>
      <c r="C373" s="2">
        <v>2016</v>
      </c>
      <c r="D373" s="32" t="str">
        <f>HYPERLINK("http://cgn.websites.wur.nl/website/pictures/Special_collection_CGNSC002/Juveniles/TKI 400 (2016-05-04).JPG","Yes")</f>
        <v>Yes</v>
      </c>
      <c r="E373" s="34" t="str">
        <f>HYPERLINK("http://cgn.websites.wur.nl/website/pictures/Special_collection_CGNSC002/Adults/TKI 400 (2016-05-30).JPG","Yes")</f>
        <v>Yes</v>
      </c>
      <c r="F373" s="33" t="str">
        <f>HYPERLINK("http://cgn.websites.wur.nl/website/pictures/Special_collection_CGNSC002/Flowers/TKI 400 (2016-08-01).JPG","Yes")</f>
        <v>Yes</v>
      </c>
      <c r="G373" s="33" t="str">
        <f>HYPERLINK("http://cgn.websites.wur.nl/website/pictures/Special_collection_CGNSC002/Seeds/TKI 400 (2016-11-30).JPG","Yes")</f>
        <v>Yes</v>
      </c>
      <c r="H373" s="1"/>
      <c r="I373" s="2" t="s">
        <v>600</v>
      </c>
      <c r="J373" s="15">
        <v>158</v>
      </c>
      <c r="K373" s="2"/>
      <c r="L373" s="2" t="s">
        <v>1877</v>
      </c>
      <c r="M373" s="2"/>
      <c r="N373" s="37" t="s">
        <v>2269</v>
      </c>
    </row>
    <row r="374" spans="1:14" x14ac:dyDescent="0.25">
      <c r="A374" s="6" t="s">
        <v>513</v>
      </c>
      <c r="B374" s="2" t="s">
        <v>591</v>
      </c>
      <c r="C374" s="2">
        <v>2016</v>
      </c>
      <c r="D374" s="32" t="str">
        <f>HYPERLINK("http://cgn.websites.wur.nl/website/pictures/Special_collection_CGNSC002/Juveniles/TKI 401 (2016-05-04).JPG","Yes")</f>
        <v>Yes</v>
      </c>
      <c r="E374" s="34" t="str">
        <f>HYPERLINK("http://cgn.websites.wur.nl/website/pictures/Special_collection_CGNSC002/Adults/TKI 401 (2016-05-30).JPG","Yes")</f>
        <v>Yes</v>
      </c>
      <c r="F374" s="33" t="str">
        <f>HYPERLINK("http://cgn.websites.wur.nl/website/pictures/Special_collection_CGNSC002/Flowers/TKI 401 (2016-08-01).JPG","Yes")</f>
        <v>Yes</v>
      </c>
      <c r="G374" s="33" t="str">
        <f>HYPERLINK("http://cgn.websites.wur.nl/website/pictures/Special_collection_CGNSC002/Seeds/TKI 401 (2016-11-30).JPG","Yes")</f>
        <v>Yes</v>
      </c>
      <c r="H374" s="1"/>
      <c r="I374" s="2" t="s">
        <v>600</v>
      </c>
      <c r="J374" s="15">
        <v>153</v>
      </c>
      <c r="K374" s="2"/>
      <c r="L374" s="2" t="s">
        <v>1877</v>
      </c>
      <c r="M374" s="2"/>
      <c r="N374" s="37" t="s">
        <v>2270</v>
      </c>
    </row>
    <row r="375" spans="1:14" x14ac:dyDescent="0.25">
      <c r="A375" s="6" t="s">
        <v>514</v>
      </c>
      <c r="B375" s="2" t="s">
        <v>591</v>
      </c>
      <c r="C375" s="2">
        <v>2016</v>
      </c>
      <c r="D375" s="32" t="str">
        <f>HYPERLINK("http://cgn.websites.wur.nl/website/pictures/Special_collection_CGNSC002/Juveniles/TKI 402 (2016-05-04).JPG","Yes")</f>
        <v>Yes</v>
      </c>
      <c r="E375" s="34" t="str">
        <f>HYPERLINK("http://cgn.websites.wur.nl/website/pictures/Special_collection_CGNSC002/Adults/TKI 402 (2016-05-30).JPG","Yes")</f>
        <v>Yes</v>
      </c>
      <c r="F375" s="33" t="str">
        <f>HYPERLINK("http://cgn.websites.wur.nl/website/pictures/Special_collection_CGNSC002/Flowers/TKI 402 (2016-06-23).JPG","Yes")</f>
        <v>Yes</v>
      </c>
      <c r="G375" s="33" t="str">
        <f>HYPERLINK("http://cgn.websites.wur.nl/website/pictures/Special_collection_CGNSC002/Seeds/TKI 402 (2016-11-23).JPG","Yes")</f>
        <v>Yes</v>
      </c>
      <c r="H375" s="1" t="s">
        <v>588</v>
      </c>
      <c r="I375" s="2" t="s">
        <v>599</v>
      </c>
      <c r="J375" s="15">
        <v>130</v>
      </c>
      <c r="K375" s="2"/>
      <c r="L375" s="2" t="s">
        <v>1877</v>
      </c>
      <c r="M375" s="2"/>
      <c r="N375" s="37" t="s">
        <v>2271</v>
      </c>
    </row>
    <row r="376" spans="1:14" x14ac:dyDescent="0.25">
      <c r="A376" s="6" t="s">
        <v>515</v>
      </c>
      <c r="B376" s="2" t="s">
        <v>591</v>
      </c>
      <c r="C376" s="2">
        <v>2016</v>
      </c>
      <c r="D376" s="32" t="str">
        <f>HYPERLINK("http://cgn.websites.wur.nl/website/pictures/Special_collection_CGNSC002/Juveniles/TKI 403 (2016-05-04).JPG","Yes")</f>
        <v>Yes</v>
      </c>
      <c r="E376" s="34" t="str">
        <f>HYPERLINK("http://cgn.websites.wur.nl/website/pictures/Special_collection_CGNSC002/Adults/TKI 403 (2016-05-30).JPG","Yes")</f>
        <v>Yes</v>
      </c>
      <c r="F376" s="33" t="str">
        <f>HYPERLINK("http://cgn.websites.wur.nl/website/pictures/Special_collection_CGNSC002/Flowers/TKI 403 (2016-06-23).JPG","Yes")</f>
        <v>Yes</v>
      </c>
      <c r="G376" s="33" t="str">
        <f>HYPERLINK("http://cgn.websites.wur.nl/website/pictures/Special_collection_CGNSC002/Seeds/TKI 403 (2016-11-23).JPG","Yes")</f>
        <v>Yes</v>
      </c>
      <c r="H376" s="1" t="s">
        <v>588</v>
      </c>
      <c r="I376" s="2" t="s">
        <v>599</v>
      </c>
      <c r="J376" s="15">
        <v>130</v>
      </c>
      <c r="K376" s="2"/>
      <c r="L376" s="2" t="s">
        <v>1877</v>
      </c>
      <c r="M376" s="2"/>
      <c r="N376" s="37" t="s">
        <v>2272</v>
      </c>
    </row>
    <row r="377" spans="1:14" x14ac:dyDescent="0.25">
      <c r="A377" s="6" t="s">
        <v>516</v>
      </c>
      <c r="B377" s="2" t="s">
        <v>591</v>
      </c>
      <c r="C377" s="2">
        <v>2016</v>
      </c>
      <c r="D377" s="32" t="str">
        <f>HYPERLINK("http://cgn.websites.wur.nl/website/pictures/Special_collection_CGNSC002/Juveniles/TKI 404 (2016-05-04).JPG","Yes")</f>
        <v>Yes</v>
      </c>
      <c r="E377" s="34" t="str">
        <f>HYPERLINK("http://cgn.websites.wur.nl/website/pictures/Special_collection_CGNSC002/Adults/TKI 404 (2016-05-30).JPG","Yes")</f>
        <v>Yes</v>
      </c>
      <c r="F377" s="33" t="str">
        <f>HYPERLINK("http://cgn.websites.wur.nl/website/pictures/Special_collection_CGNSC002/Flowers/TKI 404 (2016-06-27).JPG","Yes")</f>
        <v>Yes</v>
      </c>
      <c r="G377" s="33" t="str">
        <f>HYPERLINK("http://cgn.websites.wur.nl/website/pictures/Special_collection_CGNSC002/Seeds/TKI 404 (2016-11-23).JPG","Yes")</f>
        <v>Yes</v>
      </c>
      <c r="H377" s="1" t="s">
        <v>588</v>
      </c>
      <c r="I377" s="2" t="s">
        <v>599</v>
      </c>
      <c r="J377" s="15">
        <v>137</v>
      </c>
      <c r="K377" s="2"/>
      <c r="L377" s="2" t="s">
        <v>1876</v>
      </c>
      <c r="M377" s="2" t="s">
        <v>1875</v>
      </c>
      <c r="N377" s="37" t="s">
        <v>2273</v>
      </c>
    </row>
    <row r="378" spans="1:14" x14ac:dyDescent="0.25">
      <c r="A378" s="6" t="s">
        <v>517</v>
      </c>
      <c r="B378" s="2" t="s">
        <v>591</v>
      </c>
      <c r="C378" s="2">
        <v>2016</v>
      </c>
      <c r="D378" s="32" t="str">
        <f>HYPERLINK("http://cgn.websites.wur.nl/website/pictures/Special_collection_CGNSC002/Juveniles/TKI 405 (2016-05-04).JPG","Yes")</f>
        <v>Yes</v>
      </c>
      <c r="E378" s="34" t="str">
        <f>HYPERLINK("http://cgn.websites.wur.nl/website/pictures/Special_collection_CGNSC002/Adults/TKI 405 (2016-05-30).JPG","Yes")</f>
        <v>Yes</v>
      </c>
      <c r="F378" s="33" t="str">
        <f>HYPERLINK("http://cgn.websites.wur.nl/website/pictures/Special_collection_CGNSC002/Flowers/TKI 405 (2016-09-05).JPG","Yes")</f>
        <v>Yes</v>
      </c>
      <c r="G378" s="33" t="str">
        <f>HYPERLINK("http://cgn.websites.wur.nl/website/pictures/Special_collection_CGNSC002/Seeds/TKI 405 (2016-11-23).JPG","Yes")</f>
        <v>Yes</v>
      </c>
      <c r="H378" s="1" t="s">
        <v>588</v>
      </c>
      <c r="I378" s="2" t="s">
        <v>600</v>
      </c>
      <c r="J378" s="15">
        <v>153</v>
      </c>
      <c r="K378" s="2"/>
      <c r="L378" s="2" t="s">
        <v>1877</v>
      </c>
      <c r="M378" s="2"/>
      <c r="N378" s="37" t="s">
        <v>2274</v>
      </c>
    </row>
    <row r="379" spans="1:14" x14ac:dyDescent="0.25">
      <c r="A379" s="6" t="s">
        <v>518</v>
      </c>
      <c r="B379" s="2" t="s">
        <v>591</v>
      </c>
      <c r="C379" s="2">
        <v>2016</v>
      </c>
      <c r="D379" s="32" t="str">
        <f>HYPERLINK("http://cgn.websites.wur.nl/website/pictures/Special_collection_CGNSC002/Juveniles/TKI 406 (2016-05-04).JPG","Yes")</f>
        <v>Yes</v>
      </c>
      <c r="E379" s="34" t="str">
        <f>HYPERLINK("http://cgn.websites.wur.nl/website/pictures/Special_collection_CGNSC002/Adults/TKI 406 (2016-05-30).JPG","Yes")</f>
        <v>Yes</v>
      </c>
      <c r="F379" s="33" t="str">
        <f>HYPERLINK("http://cgn.websites.wur.nl/website/pictures/Special_collection_CGNSC002/Flowers/TKI 406 (2016-08-08).JPG","Yes")</f>
        <v>Yes</v>
      </c>
      <c r="G379" s="33" t="str">
        <f>HYPERLINK("http://cgn.websites.wur.nl/website/pictures/Special_collection_CGNSC002/Seeds/TKI 406 (2016-11-23).JPG","Yes")</f>
        <v>Yes</v>
      </c>
      <c r="H379" s="1" t="s">
        <v>588</v>
      </c>
      <c r="I379" s="2" t="s">
        <v>599</v>
      </c>
      <c r="J379" s="15">
        <v>158</v>
      </c>
      <c r="K379" s="2"/>
      <c r="L379" s="2" t="s">
        <v>1876</v>
      </c>
      <c r="M379" s="2" t="s">
        <v>1875</v>
      </c>
      <c r="N379" s="37" t="s">
        <v>2275</v>
      </c>
    </row>
    <row r="380" spans="1:14" x14ac:dyDescent="0.25">
      <c r="A380" s="6" t="s">
        <v>519</v>
      </c>
      <c r="B380" s="2" t="s">
        <v>591</v>
      </c>
      <c r="C380" s="2">
        <v>2016</v>
      </c>
      <c r="D380" s="32" t="str">
        <f>HYPERLINK("http://cgn.websites.wur.nl/website/pictures/Special_collection_CGNSC002/Juveniles/TKI 407 (2016-05-04).JPG","Yes")</f>
        <v>Yes</v>
      </c>
      <c r="E380" s="34" t="str">
        <f>HYPERLINK("http://cgn.websites.wur.nl/website/pictures/Special_collection_CGNSC002/Adults/TKI 407 (2016-05-30).JPG","Yes")</f>
        <v>Yes</v>
      </c>
      <c r="F380" s="33" t="str">
        <f>HYPERLINK("http://cgn.websites.wur.nl/website/pictures/Special_collection_CGNSC002/Flowers/TKI 407 (2016-07-04).JPG","Yes")</f>
        <v>Yes</v>
      </c>
      <c r="G380" s="33" t="str">
        <f>HYPERLINK("http://cgn.websites.wur.nl/website/pictures/Special_collection_CGNSC002/Seeds/TKI 407 (2016-11-23).JPG","Yes")</f>
        <v>Yes</v>
      </c>
      <c r="H380" s="1" t="s">
        <v>588</v>
      </c>
      <c r="I380" s="2" t="s">
        <v>599</v>
      </c>
      <c r="J380" s="15">
        <v>144</v>
      </c>
      <c r="K380" s="2"/>
      <c r="L380" s="2" t="s">
        <v>1876</v>
      </c>
      <c r="M380" s="2" t="s">
        <v>1875</v>
      </c>
      <c r="N380" s="37" t="s">
        <v>2276</v>
      </c>
    </row>
    <row r="381" spans="1:14" x14ac:dyDescent="0.25">
      <c r="A381" s="6" t="s">
        <v>520</v>
      </c>
      <c r="B381" s="2" t="s">
        <v>591</v>
      </c>
      <c r="C381" s="2">
        <v>2016</v>
      </c>
      <c r="D381" s="32" t="str">
        <f>HYPERLINK("http://cgn.websites.wur.nl/website/pictures/Special_collection_CGNSC002/Juveniles/TKI 408 (2016-05-04).JPG","Yes")</f>
        <v>Yes</v>
      </c>
      <c r="E381" s="34" t="str">
        <f>HYPERLINK("http://cgn.websites.wur.nl/website/pictures/Special_collection_CGNSC002/Adults/TKI 408 (2016-05-30).JPG","Yes")</f>
        <v>Yes</v>
      </c>
      <c r="F381" s="33" t="str">
        <f>HYPERLINK("http://cgn.websites.wur.nl/website/pictures/Special_collection_CGNSC002/Flowers/TKI 408 (2016-08-08).JPG","Yes")</f>
        <v>Yes</v>
      </c>
      <c r="G381" s="33" t="str">
        <f>HYPERLINK("http://cgn.websites.wur.nl/website/pictures/Special_collection_CGNSC002/Seeds/TKI 408 (2016-11-23).JPG","Yes")</f>
        <v>Yes</v>
      </c>
      <c r="H381" s="1" t="s">
        <v>588</v>
      </c>
      <c r="I381" s="2" t="s">
        <v>599</v>
      </c>
      <c r="J381" s="15">
        <v>137</v>
      </c>
      <c r="K381" s="2"/>
      <c r="L381" s="2" t="s">
        <v>1877</v>
      </c>
      <c r="M381" s="2"/>
      <c r="N381" s="37" t="s">
        <v>2277</v>
      </c>
    </row>
    <row r="382" spans="1:14" x14ac:dyDescent="0.25">
      <c r="A382" s="6" t="s">
        <v>521</v>
      </c>
      <c r="B382" s="2" t="s">
        <v>591</v>
      </c>
      <c r="C382" s="2">
        <v>2016</v>
      </c>
      <c r="D382" s="32" t="str">
        <f>HYPERLINK("http://cgn.websites.wur.nl/website/pictures/Special_collection_CGNSC002/Juveniles/TKI 409 (2016-05-04).JPG","Yes")</f>
        <v>Yes</v>
      </c>
      <c r="E382" s="34" t="str">
        <f>HYPERLINK("http://cgn.websites.wur.nl/website/pictures/Special_collection_CGNSC002/Adults/TKI 409 (2016-05-30).JPG","Yes")</f>
        <v>Yes</v>
      </c>
      <c r="F382" s="33" t="str">
        <f>HYPERLINK("http://cgn.websites.wur.nl/website/pictures/Special_collection_CGNSC002/Flowers/TKI 409 (2016-08-01).JPG","Yes")</f>
        <v>Yes</v>
      </c>
      <c r="G382" s="33" t="str">
        <f>HYPERLINK("http://cgn.websites.wur.nl/website/pictures/Special_collection_CGNSC002/Seeds/TKI 409 (2016-11-23).JPG","Yes")</f>
        <v>Yes</v>
      </c>
      <c r="H382" s="1" t="s">
        <v>588</v>
      </c>
      <c r="I382" s="2" t="s">
        <v>599</v>
      </c>
      <c r="J382" s="15">
        <v>130</v>
      </c>
      <c r="K382" s="2"/>
      <c r="L382" s="2" t="s">
        <v>1876</v>
      </c>
      <c r="M382" s="2" t="s">
        <v>1875</v>
      </c>
      <c r="N382" s="37" t="s">
        <v>2278</v>
      </c>
    </row>
    <row r="383" spans="1:14" x14ac:dyDescent="0.25">
      <c r="A383" s="6" t="s">
        <v>522</v>
      </c>
      <c r="B383" s="2" t="s">
        <v>591</v>
      </c>
      <c r="C383" s="2">
        <v>2016</v>
      </c>
      <c r="D383" s="32" t="str">
        <f>HYPERLINK("http://cgn.websites.wur.nl/website/pictures/Special_collection_CGNSC002/Juveniles/TKI 410 (2016-05-04).JPG","Yes")</f>
        <v>Yes</v>
      </c>
      <c r="E383" s="34" t="str">
        <f>HYPERLINK("http://cgn.websites.wur.nl/website/pictures/Special_collection_CGNSC002/Adults/TKI 410 (2016-05-30).JPG","Yes")</f>
        <v>Yes</v>
      </c>
      <c r="F383" s="33" t="str">
        <f>HYPERLINK("http://cgn.websites.wur.nl/website/pictures/Special_collection_CGNSC002/Flowers/TKI 410 (2016-06-27).JPG","Yes")</f>
        <v>Yes</v>
      </c>
      <c r="G383" s="33" t="str">
        <f>HYPERLINK("http://cgn.websites.wur.nl/website/pictures/Special_collection_CGNSC002/Seeds/TKI 410 (2016-11-23).JPG","Yes")</f>
        <v>Yes</v>
      </c>
      <c r="H383" s="1" t="s">
        <v>588</v>
      </c>
      <c r="I383" s="2" t="s">
        <v>599</v>
      </c>
      <c r="J383" s="15">
        <v>137</v>
      </c>
      <c r="K383" s="2"/>
      <c r="L383" s="2" t="s">
        <v>1876</v>
      </c>
      <c r="M383" s="2" t="s">
        <v>1875</v>
      </c>
      <c r="N383" s="37" t="s">
        <v>2279</v>
      </c>
    </row>
    <row r="384" spans="1:14" x14ac:dyDescent="0.25">
      <c r="A384" s="6" t="s">
        <v>523</v>
      </c>
      <c r="B384" s="2" t="s">
        <v>591</v>
      </c>
      <c r="C384" s="2">
        <v>2016</v>
      </c>
      <c r="D384" s="32" t="str">
        <f>HYPERLINK("http://cgn.websites.wur.nl/website/pictures/Special_collection_CGNSC002/Juveniles/TKI 411 (2016-05-04).JPG","Yes")</f>
        <v>Yes</v>
      </c>
      <c r="E384" s="34" t="str">
        <f>HYPERLINK("http://cgn.websites.wur.nl/website/pictures/Special_collection_CGNSC002/Adults/TKI 411 (2016-05-30).JPG","Yes")</f>
        <v>Yes</v>
      </c>
      <c r="F384" s="33" t="str">
        <f>HYPERLINK("http://cgn.websites.wur.nl/website/pictures/Special_collection_CGNSC002/Flowers/TKI 411 (2016-06-27).JPG","Yes")</f>
        <v>Yes</v>
      </c>
      <c r="G384" s="33" t="str">
        <f>HYPERLINK("http://cgn.websites.wur.nl/website/pictures/Special_collection_CGNSC002/Seeds/TKI 411 (2016-12-07).JPG","Yes")</f>
        <v>Yes</v>
      </c>
      <c r="H384" s="1" t="s">
        <v>588</v>
      </c>
      <c r="I384" s="2" t="s">
        <v>599</v>
      </c>
      <c r="J384" s="15">
        <v>137</v>
      </c>
      <c r="K384" s="2"/>
      <c r="L384" s="2" t="s">
        <v>1877</v>
      </c>
      <c r="M384" s="2"/>
      <c r="N384" s="37" t="s">
        <v>2280</v>
      </c>
    </row>
    <row r="385" spans="1:14" x14ac:dyDescent="0.25">
      <c r="A385" s="6" t="s">
        <v>524</v>
      </c>
      <c r="B385" s="2" t="s">
        <v>591</v>
      </c>
      <c r="C385" s="2">
        <v>2016</v>
      </c>
      <c r="D385" s="32" t="str">
        <f>HYPERLINK("http://cgn.websites.wur.nl/website/pictures/Special_collection_CGNSC002/Juveniles/TKI 412 (2016-05-04).JPG","Yes")</f>
        <v>Yes</v>
      </c>
      <c r="E385" s="34" t="str">
        <f>HYPERLINK("http://cgn.websites.wur.nl/website/pictures/Special_collection_CGNSC002/Adults/TKI 412 (2016-05-30).JPG","Yes")</f>
        <v>Yes</v>
      </c>
      <c r="F385" s="33" t="str">
        <f>HYPERLINK("http://cgn.websites.wur.nl/website/pictures/Special_collection_CGNSC002/Flowers/TKI 412 (2016-06-27).JPG","Yes")</f>
        <v>Yes</v>
      </c>
      <c r="G385" s="33" t="str">
        <f>HYPERLINK("http://cgn.websites.wur.nl/website/pictures/Special_collection_CGNSC002/Seeds/TKI 412 (2016-12-07).JPG","Yes")</f>
        <v>Yes</v>
      </c>
      <c r="H385" s="1" t="s">
        <v>588</v>
      </c>
      <c r="I385" s="2" t="s">
        <v>599</v>
      </c>
      <c r="J385" s="15">
        <v>137</v>
      </c>
      <c r="K385" s="2"/>
      <c r="L385" s="2" t="s">
        <v>1876</v>
      </c>
      <c r="M385" s="2" t="s">
        <v>1875</v>
      </c>
      <c r="N385" s="37" t="s">
        <v>2281</v>
      </c>
    </row>
    <row r="386" spans="1:14" x14ac:dyDescent="0.25">
      <c r="A386" s="6" t="s">
        <v>525</v>
      </c>
      <c r="B386" s="2" t="s">
        <v>591</v>
      </c>
      <c r="C386" s="2">
        <v>2016</v>
      </c>
      <c r="D386" s="32" t="str">
        <f>HYPERLINK("http://cgn.websites.wur.nl/website/pictures/Special_collection_CGNSC002/Juveniles/TKI 413 (2016-05-04).JPG","Yes")</f>
        <v>Yes</v>
      </c>
      <c r="E386" s="34" t="str">
        <f>HYPERLINK("http://cgn.websites.wur.nl/website/pictures/Special_collection_CGNSC002/Adults/TKI 413 (2016-05-30).JPG","Yes")</f>
        <v>Yes</v>
      </c>
      <c r="F386" s="33"/>
      <c r="G386" s="33" t="str">
        <f>HYPERLINK("http://cgn.websites.wur.nl/website/pictures/Special_collection_CGNSC002/Seeds/TKI 413 (2016-12-07).JPG","Yes")</f>
        <v>Yes</v>
      </c>
      <c r="H386" s="1" t="s">
        <v>588</v>
      </c>
      <c r="I386" s="2" t="s">
        <v>599</v>
      </c>
      <c r="J386" s="15">
        <v>137</v>
      </c>
      <c r="K386" s="2"/>
      <c r="L386" s="2" t="s">
        <v>1877</v>
      </c>
      <c r="M386" s="2"/>
      <c r="N386" s="37" t="s">
        <v>2282</v>
      </c>
    </row>
    <row r="387" spans="1:14" x14ac:dyDescent="0.25">
      <c r="A387" s="6" t="s">
        <v>526</v>
      </c>
      <c r="B387" s="2" t="s">
        <v>591</v>
      </c>
      <c r="C387" s="2">
        <v>2016</v>
      </c>
      <c r="D387" s="32" t="str">
        <f>HYPERLINK("http://cgn.websites.wur.nl/website/pictures/Special_collection_CGNSC002/Juveniles/TKI 414 (2016-05-04).JPG","Yes")</f>
        <v>Yes</v>
      </c>
      <c r="E387" s="34" t="str">
        <f>HYPERLINK("http://cgn.websites.wur.nl/website/pictures/Special_collection_CGNSC002/Adults/TKI 414 (2016-05-30).JPG","Yes")</f>
        <v>Yes</v>
      </c>
      <c r="F387" s="33" t="str">
        <f>HYPERLINK("http://cgn.websites.wur.nl/website/pictures/Special_collection_CGNSC002/Flowers/TKI 414 (2016-06-27).JPG","Yes")</f>
        <v>Yes</v>
      </c>
      <c r="G387" s="33" t="str">
        <f>HYPERLINK("http://cgn.websites.wur.nl/website/pictures/Special_collection_CGNSC002/Seeds/TKI 414 (2016-12-07).JPG","Yes")</f>
        <v>Yes</v>
      </c>
      <c r="H387" s="1" t="s">
        <v>588</v>
      </c>
      <c r="I387" s="2" t="s">
        <v>600</v>
      </c>
      <c r="J387" s="15">
        <v>137</v>
      </c>
      <c r="K387" s="2"/>
      <c r="L387" s="2" t="s">
        <v>1876</v>
      </c>
      <c r="M387" s="2" t="s">
        <v>1875</v>
      </c>
      <c r="N387" s="37" t="s">
        <v>2283</v>
      </c>
    </row>
    <row r="388" spans="1:14" x14ac:dyDescent="0.25">
      <c r="A388" s="6" t="s">
        <v>527</v>
      </c>
      <c r="B388" s="2" t="s">
        <v>591</v>
      </c>
      <c r="C388" s="2">
        <v>2016</v>
      </c>
      <c r="D388" s="32" t="str">
        <f>HYPERLINK("http://cgn.websites.wur.nl/website/pictures/Special_collection_CGNSC002/Juveniles/TKI 415 (2016-05-04).JPG","Yes")</f>
        <v>Yes</v>
      </c>
      <c r="E388" s="34" t="str">
        <f>HYPERLINK("http://cgn.websites.wur.nl/website/pictures/Special_collection_CGNSC002/Adults/TKI 415 (2016-05-30).JPG","Yes")</f>
        <v>Yes</v>
      </c>
      <c r="F388" s="33" t="str">
        <f>HYPERLINK("http://cgn.websites.wur.nl/website/pictures/Special_collection_CGNSC002/Flowers/TKI 415 (2016-06-23).JPG","Yes")</f>
        <v>Yes</v>
      </c>
      <c r="G388" s="33" t="str">
        <f>HYPERLINK("http://cgn.websites.wur.nl/website/pictures/Special_collection_CGNSC002/Seeds/TKI 415 (2016-12-07).JPG","Yes")</f>
        <v>Yes</v>
      </c>
      <c r="H388" s="1" t="s">
        <v>588</v>
      </c>
      <c r="I388" s="2" t="s">
        <v>599</v>
      </c>
      <c r="J388" s="15">
        <v>130</v>
      </c>
      <c r="K388" s="2"/>
      <c r="L388" s="2" t="s">
        <v>1877</v>
      </c>
      <c r="M388" s="2"/>
      <c r="N388" s="37" t="s">
        <v>2284</v>
      </c>
    </row>
    <row r="389" spans="1:14" x14ac:dyDescent="0.25">
      <c r="A389" s="6" t="s">
        <v>528</v>
      </c>
      <c r="B389" s="2" t="s">
        <v>591</v>
      </c>
      <c r="C389" s="2">
        <v>2016</v>
      </c>
      <c r="D389" s="32" t="str">
        <f>HYPERLINK("http://cgn.websites.wur.nl/website/pictures/Special_collection_CGNSC002/Juveniles/TKI 416 (2016-05-04).JPG","Yes")</f>
        <v>Yes</v>
      </c>
      <c r="E389" s="34" t="str">
        <f>HYPERLINK("http://cgn.websites.wur.nl/website/pictures/Special_collection_CGNSC002/Adults/TKI 416 (2016-05-30).JPG","Yes")</f>
        <v>Yes</v>
      </c>
      <c r="F389" s="33" t="str">
        <f>HYPERLINK("http://cgn.websites.wur.nl/website/pictures/Special_collection_CGNSC002/Flowers/TKI 416 (2016-06-23).JPG","Yes")</f>
        <v>Yes</v>
      </c>
      <c r="G389" s="33" t="str">
        <f>HYPERLINK("http://cgn.websites.wur.nl/website/pictures/Special_collection_CGNSC002/Seeds/TKI 416 (2016-12-07).JPG","Yes")</f>
        <v>Yes</v>
      </c>
      <c r="H389" s="1" t="s">
        <v>588</v>
      </c>
      <c r="I389" s="2" t="s">
        <v>599</v>
      </c>
      <c r="J389" s="15">
        <v>130</v>
      </c>
      <c r="K389" s="2"/>
      <c r="L389" s="2" t="s">
        <v>1877</v>
      </c>
      <c r="M389" s="2"/>
      <c r="N389" s="37" t="s">
        <v>2285</v>
      </c>
    </row>
    <row r="390" spans="1:14" x14ac:dyDescent="0.25">
      <c r="A390" s="6" t="s">
        <v>529</v>
      </c>
      <c r="B390" s="2" t="s">
        <v>591</v>
      </c>
      <c r="C390" s="2">
        <v>2016</v>
      </c>
      <c r="D390" s="32" t="str">
        <f>HYPERLINK("http://cgn.websites.wur.nl/website/pictures/Special_collection_CGNSC002/Juveniles/TKI 417 (2016-05-04).JPG","Yes")</f>
        <v>Yes</v>
      </c>
      <c r="E390" s="34" t="str">
        <f>HYPERLINK("http://cgn.websites.wur.nl/website/pictures/Special_collection_CGNSC002/Adults/TKI 417 (2016-05-30).JPG","Yes")</f>
        <v>Yes</v>
      </c>
      <c r="F390" s="33" t="str">
        <f>HYPERLINK("http://cgn.websites.wur.nl/website/pictures/Special_collection_CGNSC002/Flowers/TKI 417 (2016-06-23).JPG","Yes")</f>
        <v>Yes</v>
      </c>
      <c r="G390" s="33" t="str">
        <f>HYPERLINK("http://cgn.websites.wur.nl/website/pictures/Special_collection_CGNSC002/Seeds/TKI 417 (2016-12-07).JPG","Yes")</f>
        <v>Yes</v>
      </c>
      <c r="H390" s="1" t="s">
        <v>588</v>
      </c>
      <c r="I390" s="2" t="s">
        <v>599</v>
      </c>
      <c r="J390" s="15">
        <v>130</v>
      </c>
      <c r="K390" s="2"/>
      <c r="L390" s="2" t="s">
        <v>1877</v>
      </c>
      <c r="M390" s="2"/>
      <c r="N390" s="37" t="s">
        <v>2286</v>
      </c>
    </row>
    <row r="391" spans="1:14" x14ac:dyDescent="0.25">
      <c r="A391" s="6" t="s">
        <v>530</v>
      </c>
      <c r="B391" s="2" t="s">
        <v>591</v>
      </c>
      <c r="C391" s="2">
        <v>2016</v>
      </c>
      <c r="D391" s="32" t="str">
        <f>HYPERLINK("http://cgn.websites.wur.nl/website/pictures/Special_collection_CGNSC002/Juveniles/TKI 418 (2016-05-04).JPG","Yes")</f>
        <v>Yes</v>
      </c>
      <c r="E391" s="34" t="str">
        <f>HYPERLINK("http://cgn.websites.wur.nl/website/pictures/Special_collection_CGNSC002/Adults/TKI 418 (2016-05-30).JPG","Yes")</f>
        <v>Yes</v>
      </c>
      <c r="F391" s="33" t="str">
        <f>HYPERLINK("http://cgn.websites.wur.nl/website/pictures/Special_collection_CGNSC002/Flowers/TKI 418 (2016-08-01).JPG","Yes")</f>
        <v>Yes</v>
      </c>
      <c r="G391" s="33" t="str">
        <f>HYPERLINK("http://cgn.websites.wur.nl/website/pictures/Special_collection_CGNSC002/Seeds/TKI 418 (2016-12-07).JPG","Yes")</f>
        <v>Yes</v>
      </c>
      <c r="H391" s="1" t="s">
        <v>588</v>
      </c>
      <c r="I391" s="2" t="s">
        <v>600</v>
      </c>
      <c r="J391" s="15">
        <v>137</v>
      </c>
      <c r="K391" s="2" t="s">
        <v>607</v>
      </c>
      <c r="L391" s="2" t="s">
        <v>1877</v>
      </c>
      <c r="M391" s="2"/>
      <c r="N391" s="37" t="s">
        <v>2287</v>
      </c>
    </row>
    <row r="392" spans="1:14" x14ac:dyDescent="0.25">
      <c r="A392" s="6" t="s">
        <v>531</v>
      </c>
      <c r="B392" s="2" t="s">
        <v>591</v>
      </c>
      <c r="C392" s="2">
        <v>2016</v>
      </c>
      <c r="D392" s="32" t="str">
        <f>HYPERLINK("http://cgn.websites.wur.nl/website/pictures/Special_collection_CGNSC002/Juveniles/TKI 419 (2016-05-04).JPG","Yes")</f>
        <v>Yes</v>
      </c>
      <c r="E392" s="34" t="str">
        <f>HYPERLINK("http://cgn.websites.wur.nl/website/pictures/Special_collection_CGNSC002/Adults/TKI 419 (2016-05-30).JPG","Yes")</f>
        <v>Yes</v>
      </c>
      <c r="F392" s="33" t="str">
        <f>HYPERLINK("http://cgn.websites.wur.nl/website/pictures/Special_collection_CGNSC002/Flowers/TKI 419 (2016-08-01).JPG","Yes")</f>
        <v>Yes</v>
      </c>
      <c r="G392" s="33" t="str">
        <f>HYPERLINK("http://cgn.websites.wur.nl/website/pictures/Special_collection_CGNSC002/Seeds/TKI 419 (2016-12-07).JPG","Yes")</f>
        <v>Yes</v>
      </c>
      <c r="H392" s="1" t="s">
        <v>588</v>
      </c>
      <c r="I392" s="2" t="s">
        <v>599</v>
      </c>
      <c r="J392" s="15">
        <v>144</v>
      </c>
      <c r="K392" s="2"/>
      <c r="L392" s="2" t="s">
        <v>1876</v>
      </c>
      <c r="M392" s="2" t="s">
        <v>1875</v>
      </c>
      <c r="N392" s="37" t="s">
        <v>2288</v>
      </c>
    </row>
    <row r="393" spans="1:14" x14ac:dyDescent="0.25">
      <c r="A393" s="6" t="s">
        <v>532</v>
      </c>
      <c r="B393" s="2" t="s">
        <v>591</v>
      </c>
      <c r="C393" s="2">
        <v>2016</v>
      </c>
      <c r="D393" s="32" t="str">
        <f>HYPERLINK("http://cgn.websites.wur.nl/website/pictures/Special_collection_CGNSC002/Juveniles/TKI 420 (2016-05-04).JPG","Yes")</f>
        <v>Yes</v>
      </c>
      <c r="E393" s="34" t="str">
        <f>HYPERLINK("http://cgn.websites.wur.nl/website/pictures/Special_collection_CGNSC002/Adults/TKI 420 (2016-05-30).JPG","Yes")</f>
        <v>Yes</v>
      </c>
      <c r="F393" s="33" t="str">
        <f>HYPERLINK("http://cgn.websites.wur.nl/website/pictures/Special_collection_CGNSC002/Flowers/TKI 420 (2016-07-04).JPG","Yes")</f>
        <v>Yes</v>
      </c>
      <c r="G393" s="33" t="str">
        <f>HYPERLINK("http://cgn.websites.wur.nl/website/pictures/Special_collection_CGNSC002/Seeds/TKI 420 (2016-12-07).JPG","Yes")</f>
        <v>Yes</v>
      </c>
      <c r="H393" s="1" t="s">
        <v>588</v>
      </c>
      <c r="I393" s="2" t="s">
        <v>599</v>
      </c>
      <c r="J393" s="15">
        <v>137</v>
      </c>
      <c r="K393" s="2"/>
      <c r="L393" s="2" t="s">
        <v>1876</v>
      </c>
      <c r="M393" s="2" t="s">
        <v>1875</v>
      </c>
      <c r="N393" s="37" t="s">
        <v>2289</v>
      </c>
    </row>
    <row r="394" spans="1:14" x14ac:dyDescent="0.25">
      <c r="A394" s="6" t="s">
        <v>533</v>
      </c>
      <c r="B394" s="2" t="s">
        <v>591</v>
      </c>
      <c r="C394" s="2">
        <v>2016</v>
      </c>
      <c r="D394" s="32" t="str">
        <f>HYPERLINK("http://cgn.websites.wur.nl/website/pictures/Special_collection_CGNSC002/Juveniles/TKI 421 (2016-05-04).JPG","Yes")</f>
        <v>Yes</v>
      </c>
      <c r="E394" s="34" t="str">
        <f>HYPERLINK("http://cgn.websites.wur.nl/website/pictures/Special_collection_CGNSC002/Adults/TKI 421 (2016-05-30).JPG","Yes")</f>
        <v>Yes</v>
      </c>
      <c r="F394" s="33" t="str">
        <f>HYPERLINK("http://cgn.websites.wur.nl/website/pictures/Special_collection_CGNSC002/Flowers/TKI 421 (2016-06-27).JPG","Yes")</f>
        <v>Yes</v>
      </c>
      <c r="G394" s="33" t="str">
        <f>HYPERLINK("http://cgn.websites.wur.nl/website/pictures/Special_collection_CGNSC002/Seeds/TKI 421 (2016-12-07).JPG","Yes")</f>
        <v>Yes</v>
      </c>
      <c r="H394" s="1" t="s">
        <v>588</v>
      </c>
      <c r="I394" s="2" t="s">
        <v>599</v>
      </c>
      <c r="J394" s="15">
        <v>124</v>
      </c>
      <c r="K394" s="2"/>
      <c r="L394" s="2" t="s">
        <v>1877</v>
      </c>
      <c r="M394" s="2"/>
      <c r="N394" s="37" t="s">
        <v>2290</v>
      </c>
    </row>
    <row r="395" spans="1:14" x14ac:dyDescent="0.25">
      <c r="A395" s="6" t="s">
        <v>534</v>
      </c>
      <c r="B395" s="2" t="s">
        <v>591</v>
      </c>
      <c r="C395" s="2">
        <v>2016</v>
      </c>
      <c r="D395" s="32" t="str">
        <f>HYPERLINK("http://cgn.websites.wur.nl/website/pictures/Special_collection_CGNSC002/Juveniles/TKI 422 (2016-05-04).JPG","Yes")</f>
        <v>Yes</v>
      </c>
      <c r="E395" s="34" t="str">
        <f>HYPERLINK("http://cgn.websites.wur.nl/website/pictures/Special_collection_CGNSC002/Adults/TKI 422 (2016-05-30).JPG","Yes")</f>
        <v>Yes</v>
      </c>
      <c r="F395" s="33" t="str">
        <f>HYPERLINK("http://cgn.websites.wur.nl/website/pictures/Special_collection_CGNSC002/Flowers/TKI 422 (2016-07-14).JPG","Yes")</f>
        <v>Yes</v>
      </c>
      <c r="G395" s="33" t="str">
        <f>HYPERLINK("http://cgn.websites.wur.nl/website/pictures/Special_collection_CGNSC002/Seeds/TKI 422 (2016-12-07).JPG","Yes")</f>
        <v>Yes</v>
      </c>
      <c r="H395" s="1" t="s">
        <v>588</v>
      </c>
      <c r="I395" s="2" t="s">
        <v>599</v>
      </c>
      <c r="J395" s="15">
        <v>137</v>
      </c>
      <c r="K395" s="2"/>
      <c r="L395" s="2" t="s">
        <v>1876</v>
      </c>
      <c r="M395" s="2" t="s">
        <v>1875</v>
      </c>
      <c r="N395" s="37" t="s">
        <v>2291</v>
      </c>
    </row>
    <row r="396" spans="1:14" x14ac:dyDescent="0.25">
      <c r="A396" s="6" t="s">
        <v>535</v>
      </c>
      <c r="B396" s="2" t="s">
        <v>591</v>
      </c>
      <c r="C396" s="2">
        <v>2016</v>
      </c>
      <c r="D396" s="32" t="str">
        <f>HYPERLINK("http://cgn.websites.wur.nl/website/pictures/Special_collection_CGNSC002/Juveniles/TKI 423 (2016-05-04).JPG","Yes")</f>
        <v>Yes</v>
      </c>
      <c r="E396" s="34" t="str">
        <f>HYPERLINK("http://cgn.websites.wur.nl/website/pictures/Special_collection_CGNSC002/Adults/TKI 423 (2016-05-30).JPG","Yes")</f>
        <v>Yes</v>
      </c>
      <c r="F396" s="33" t="str">
        <f>HYPERLINK("http://cgn.websites.wur.nl/website/pictures/Special_collection_CGNSC002/Flowers/TKI 423 (2016-08-15).JPG","Yes")</f>
        <v>Yes</v>
      </c>
      <c r="G396" s="33" t="str">
        <f>HYPERLINK("http://cgn.websites.wur.nl/website/pictures/Special_collection_CGNSC002/Seeds/TKI 423 (2016-12-07).JPG","Yes")</f>
        <v>Yes</v>
      </c>
      <c r="H396" s="1" t="s">
        <v>588</v>
      </c>
      <c r="I396" s="2" t="s">
        <v>599</v>
      </c>
      <c r="J396" s="15">
        <v>153</v>
      </c>
      <c r="K396" s="2"/>
      <c r="L396" s="2" t="s">
        <v>1877</v>
      </c>
      <c r="M396" s="2"/>
      <c r="N396" s="37" t="s">
        <v>2292</v>
      </c>
    </row>
    <row r="397" spans="1:14" x14ac:dyDescent="0.25">
      <c r="A397" s="6" t="s">
        <v>536</v>
      </c>
      <c r="B397" s="2" t="s">
        <v>591</v>
      </c>
      <c r="C397" s="2">
        <v>2016</v>
      </c>
      <c r="D397" s="32" t="str">
        <f>HYPERLINK("http://cgn.websites.wur.nl/website/pictures/Special_collection_CGNSC002/Juveniles/TKI 424 (2016-05-04).JPG","Yes")</f>
        <v>Yes</v>
      </c>
      <c r="E397" s="34" t="str">
        <f>HYPERLINK("http://cgn.websites.wur.nl/website/pictures/Special_collection_CGNSC002/Adults/TKI 424 (2016-05-30).JPG","Yes")</f>
        <v>Yes</v>
      </c>
      <c r="F397" s="33"/>
      <c r="G397" s="33" t="str">
        <f>HYPERLINK("http://cgn.websites.wur.nl/website/pictures/Special_collection_CGNSC002/Seeds/TKI 424 (2016-12-07).JPG","Yes")</f>
        <v>Yes</v>
      </c>
      <c r="H397" s="1" t="s">
        <v>588</v>
      </c>
      <c r="I397" s="2" t="s">
        <v>600</v>
      </c>
      <c r="J397" s="15">
        <v>147</v>
      </c>
      <c r="K397" s="2"/>
      <c r="L397" s="2" t="s">
        <v>1877</v>
      </c>
      <c r="M397" s="2"/>
      <c r="N397" s="37" t="s">
        <v>2293</v>
      </c>
    </row>
    <row r="398" spans="1:14" x14ac:dyDescent="0.25">
      <c r="A398" s="6" t="s">
        <v>537</v>
      </c>
      <c r="B398" s="2" t="s">
        <v>591</v>
      </c>
      <c r="C398" s="2">
        <v>2016</v>
      </c>
      <c r="D398" s="32" t="str">
        <f>HYPERLINK("http://cgn.websites.wur.nl/website/pictures/Special_collection_CGNSC002/Juveniles/TKI 425 (2016-05-04).JPG","Yes")</f>
        <v>Yes</v>
      </c>
      <c r="E398" s="34" t="str">
        <f>HYPERLINK("http://cgn.websites.wur.nl/website/pictures/Special_collection_CGNSC002/Adults/TKI 425 (2016-05-30).JPG","Yes")</f>
        <v>Yes</v>
      </c>
      <c r="F398" s="33" t="str">
        <f>HYPERLINK("http://cgn.websites.wur.nl/website/pictures/Special_collection_CGNSC002/Flowers/TKI 425 (2016-08-01).JPG","Yes")</f>
        <v>Yes</v>
      </c>
      <c r="G398" s="33" t="str">
        <f>HYPERLINK("http://cgn.websites.wur.nl/website/pictures/Special_collection_CGNSC002/Seeds/TKI 425 (2016-12-07).JPG","Yes")</f>
        <v>Yes</v>
      </c>
      <c r="H398" s="1" t="s">
        <v>588</v>
      </c>
      <c r="I398" s="2" t="s">
        <v>600</v>
      </c>
      <c r="J398" s="15">
        <v>144</v>
      </c>
      <c r="K398" s="2"/>
      <c r="L398" s="2" t="s">
        <v>1876</v>
      </c>
      <c r="M398" s="2" t="s">
        <v>1875</v>
      </c>
      <c r="N398" s="37" t="s">
        <v>2294</v>
      </c>
    </row>
    <row r="399" spans="1:14" x14ac:dyDescent="0.25">
      <c r="A399" s="6" t="s">
        <v>538</v>
      </c>
      <c r="B399" s="2" t="s">
        <v>591</v>
      </c>
      <c r="C399" s="2">
        <v>2016</v>
      </c>
      <c r="D399" s="32" t="str">
        <f>HYPERLINK("http://cgn.websites.wur.nl/website/pictures/Special_collection_CGNSC002/Juveniles/TKI 426 (2016-05-04).JPG","Yes")</f>
        <v>Yes</v>
      </c>
      <c r="E399" s="34" t="str">
        <f>HYPERLINK("http://cgn.websites.wur.nl/website/pictures/Special_collection_CGNSC002/Adults/TKI 426 (2016-05-30).JPG","Yes")</f>
        <v>Yes</v>
      </c>
      <c r="F399" s="33" t="str">
        <f>HYPERLINK("http://cgn.websites.wur.nl/website/pictures/Special_collection_CGNSC002/Flowers/TKI 426 (2016-08-04).JPG","Yes")</f>
        <v>Yes</v>
      </c>
      <c r="G399" s="33" t="str">
        <f>HYPERLINK("http://cgn.websites.wur.nl/website/pictures/Special_collection_CGNSC002/Seeds/TKI 426 (2016-12-07).JPG","Yes")</f>
        <v>Yes</v>
      </c>
      <c r="H399" s="1" t="s">
        <v>588</v>
      </c>
      <c r="I399" s="2" t="s">
        <v>600</v>
      </c>
      <c r="J399" s="15">
        <v>144</v>
      </c>
      <c r="K399" s="2"/>
      <c r="L399" s="2" t="s">
        <v>1877</v>
      </c>
      <c r="M399" s="2"/>
      <c r="N399" s="37" t="s">
        <v>2295</v>
      </c>
    </row>
    <row r="400" spans="1:14" x14ac:dyDescent="0.25">
      <c r="A400" s="6" t="s">
        <v>539</v>
      </c>
      <c r="B400" s="2" t="s">
        <v>591</v>
      </c>
      <c r="C400" s="2">
        <v>2016</v>
      </c>
      <c r="D400" s="32" t="str">
        <f>HYPERLINK("http://cgn.websites.wur.nl/website/pictures/Special_collection_CGNSC002/Juveniles/TKI 427 (2016-05-04).JPG","Yes")</f>
        <v>Yes</v>
      </c>
      <c r="E400" s="34" t="str">
        <f>HYPERLINK("http://cgn.websites.wur.nl/website/pictures/Special_collection_CGNSC002/Adults/TKI 427 (2016-05-30).JPG","Yes")</f>
        <v>Yes</v>
      </c>
      <c r="F400" s="33" t="str">
        <f>HYPERLINK("http://cgn.websites.wur.nl/website/pictures/Special_collection_CGNSC002/Flowers/TKI 427 (2016-08-08).JPG","Yes")</f>
        <v>Yes</v>
      </c>
      <c r="G400" s="33" t="str">
        <f>HYPERLINK("http://cgn.websites.wur.nl/website/pictures/Special_collection_CGNSC002/Seeds/TKI 427 (2016-12-07).JPG","Yes")</f>
        <v>Yes</v>
      </c>
      <c r="H400" s="1" t="s">
        <v>588</v>
      </c>
      <c r="I400" s="2" t="s">
        <v>600</v>
      </c>
      <c r="J400" s="15">
        <v>144</v>
      </c>
      <c r="K400" s="2"/>
      <c r="L400" s="2" t="s">
        <v>1876</v>
      </c>
      <c r="M400" s="2" t="s">
        <v>1875</v>
      </c>
      <c r="N400" s="37" t="s">
        <v>2296</v>
      </c>
    </row>
    <row r="401" spans="1:14" x14ac:dyDescent="0.25">
      <c r="A401" s="6" t="s">
        <v>540</v>
      </c>
      <c r="B401" s="2" t="s">
        <v>591</v>
      </c>
      <c r="C401" s="2">
        <v>2016</v>
      </c>
      <c r="D401" s="32" t="str">
        <f>HYPERLINK("http://cgn.websites.wur.nl/website/pictures/Special_collection_CGNSC002/Juveniles/TKI 428 (2016-05-04).JPG","Yes")</f>
        <v>Yes</v>
      </c>
      <c r="E401" s="34" t="str">
        <f>HYPERLINK("http://cgn.websites.wur.nl/website/pictures/Special_collection_CGNSC002/Adults/TKI 428 (2016-05-30).JPG","Yes")</f>
        <v>Yes</v>
      </c>
      <c r="F401" s="33" t="str">
        <f>HYPERLINK("http://cgn.websites.wur.nl/website/pictures/Special_collection_CGNSC002/Flowers/TKI 428 (2016-07-18).JPG","Yes")</f>
        <v>Yes</v>
      </c>
      <c r="G401" s="33" t="str">
        <f>HYPERLINK("http://cgn.websites.wur.nl/website/pictures/Special_collection_CGNSC002/Seeds/TKI 428 (2016-12-07).JPG","Yes")</f>
        <v>Yes</v>
      </c>
      <c r="H401" s="1" t="s">
        <v>588</v>
      </c>
      <c r="I401" s="2" t="s">
        <v>600</v>
      </c>
      <c r="J401" s="15">
        <v>144</v>
      </c>
      <c r="K401" s="2"/>
      <c r="L401" s="2" t="s">
        <v>1877</v>
      </c>
      <c r="M401" s="2"/>
      <c r="N401" s="37" t="s">
        <v>2297</v>
      </c>
    </row>
    <row r="402" spans="1:14" x14ac:dyDescent="0.25">
      <c r="A402" s="6" t="s">
        <v>541</v>
      </c>
      <c r="B402" s="2" t="s">
        <v>591</v>
      </c>
      <c r="C402" s="2">
        <v>2016</v>
      </c>
      <c r="D402" s="32" t="str">
        <f>HYPERLINK("http://cgn.websites.wur.nl/website/pictures/Special_collection_CGNSC002/Juveniles/TKI 429 (2016-05-04).JPG","Yes")</f>
        <v>Yes</v>
      </c>
      <c r="E402" s="34" t="str">
        <f>HYPERLINK("http://cgn.websites.wur.nl/website/pictures/Special_collection_CGNSC002/Adults/TKI 429 (2016-05-30).JPG","Yes")</f>
        <v>Yes</v>
      </c>
      <c r="F402" s="33" t="str">
        <f>HYPERLINK("http://cgn.websites.wur.nl/website/pictures/Special_collection_CGNSC002/Flowers/TKI 429 (2016-06-23).JPG","Yes")</f>
        <v>Yes</v>
      </c>
      <c r="G402" s="33" t="str">
        <f>HYPERLINK("http://cgn.websites.wur.nl/website/pictures/Special_collection_CGNSC002/Seeds/TKI 429 (2016-12-07).JPG","Yes")</f>
        <v>Yes</v>
      </c>
      <c r="H402" s="1" t="s">
        <v>588</v>
      </c>
      <c r="I402" s="2" t="s">
        <v>599</v>
      </c>
      <c r="J402" s="15">
        <v>124</v>
      </c>
      <c r="K402" s="2"/>
      <c r="L402" s="2" t="s">
        <v>1877</v>
      </c>
      <c r="M402" s="2"/>
      <c r="N402" s="37" t="s">
        <v>2298</v>
      </c>
    </row>
    <row r="403" spans="1:14" x14ac:dyDescent="0.25">
      <c r="A403" s="6" t="s">
        <v>542</v>
      </c>
      <c r="B403" s="2" t="s">
        <v>591</v>
      </c>
      <c r="C403" s="2">
        <v>2016</v>
      </c>
      <c r="D403" s="32" t="str">
        <f>HYPERLINK("http://cgn.websites.wur.nl/website/pictures/Special_collection_CGNSC002/Juveniles/TKI 430 (2016-05-04).JPG","Yes")</f>
        <v>Yes</v>
      </c>
      <c r="E403" s="34" t="str">
        <f>HYPERLINK("http://cgn.websites.wur.nl/website/pictures/Special_collection_CGNSC002/Adults/TKI 430 (2016-05-30).JPG","Yes")</f>
        <v>Yes</v>
      </c>
      <c r="F403" s="33" t="str">
        <f>HYPERLINK("http://cgn.websites.wur.nl/website/pictures/Special_collection_CGNSC002/Flowers/TKI 430 (2016-08-08).JPG","Yes")</f>
        <v>Yes</v>
      </c>
      <c r="G403" s="33" t="str">
        <f>HYPERLINK("http://cgn.websites.wur.nl/website/pictures/Special_collection_CGNSC002/Seeds/TKI 430 (2016-12-07).JPG","Yes")</f>
        <v>Yes</v>
      </c>
      <c r="H403" s="1" t="s">
        <v>588</v>
      </c>
      <c r="I403" s="2" t="s">
        <v>600</v>
      </c>
      <c r="J403" s="15">
        <v>137</v>
      </c>
      <c r="K403" s="2"/>
      <c r="L403" s="2" t="s">
        <v>1877</v>
      </c>
      <c r="M403" s="2"/>
      <c r="N403" s="37" t="s">
        <v>2299</v>
      </c>
    </row>
    <row r="404" spans="1:14" x14ac:dyDescent="0.25">
      <c r="A404" s="6" t="s">
        <v>543</v>
      </c>
      <c r="B404" s="2" t="s">
        <v>591</v>
      </c>
      <c r="C404" s="2">
        <v>2016</v>
      </c>
      <c r="D404" s="32" t="str">
        <f>HYPERLINK("http://cgn.websites.wur.nl/website/pictures/Special_collection_CGNSC002/Juveniles/TKI 431 (2016-05-04).JPG","Yes")</f>
        <v>Yes</v>
      </c>
      <c r="E404" s="34" t="str">
        <f>HYPERLINK("http://cgn.websites.wur.nl/website/pictures/Special_collection_CGNSC002/Adults/TKI 431 (2016-05-30).JPG","Yes")</f>
        <v>Yes</v>
      </c>
      <c r="F404" s="33"/>
      <c r="G404" s="33" t="str">
        <f>HYPERLINK("http://cgn.websites.wur.nl/website/pictures/Special_collection_CGNSC002/Seeds/TKI 431 (2016-12-07).JPG","Yes")</f>
        <v>Yes</v>
      </c>
      <c r="H404" s="1" t="s">
        <v>588</v>
      </c>
      <c r="I404" s="2" t="s">
        <v>599</v>
      </c>
      <c r="J404" s="15">
        <v>144</v>
      </c>
      <c r="K404" s="2"/>
      <c r="L404" s="2" t="s">
        <v>1876</v>
      </c>
      <c r="M404" s="2" t="s">
        <v>1875</v>
      </c>
      <c r="N404" s="37" t="s">
        <v>2300</v>
      </c>
    </row>
    <row r="405" spans="1:14" x14ac:dyDescent="0.25">
      <c r="A405" s="6" t="s">
        <v>544</v>
      </c>
      <c r="B405" s="2" t="s">
        <v>591</v>
      </c>
      <c r="C405" s="2">
        <v>2016</v>
      </c>
      <c r="D405" s="32" t="str">
        <f>HYPERLINK("http://cgn.websites.wur.nl/website/pictures/Special_collection_CGNSC002/Juveniles/TKI 432 (2016-05-04).JPG","Yes")</f>
        <v>Yes</v>
      </c>
      <c r="E405" s="34" t="str">
        <f>HYPERLINK("http://cgn.websites.wur.nl/website/pictures/Special_collection_CGNSC002/Adults/TKI 432 (2016-05-30).JPG","Yes")</f>
        <v>Yes</v>
      </c>
      <c r="F405" s="33" t="str">
        <f>HYPERLINK("http://cgn.websites.wur.nl/website/pictures/Special_collection_CGNSC002/Flowers/TKI 432 (2016-08-15).JPG","Yes")</f>
        <v>Yes</v>
      </c>
      <c r="G405" s="33" t="str">
        <f>HYPERLINK("http://cgn.websites.wur.nl/website/pictures/Special_collection_CGNSC002/Seeds/TKI 432 (2016-12-07).JPG","Yes")</f>
        <v>Yes</v>
      </c>
      <c r="H405" s="1" t="s">
        <v>588</v>
      </c>
      <c r="I405" s="2" t="s">
        <v>600</v>
      </c>
      <c r="J405" s="15">
        <v>153</v>
      </c>
      <c r="K405" s="2"/>
      <c r="L405" s="2" t="s">
        <v>1877</v>
      </c>
      <c r="M405" s="2"/>
      <c r="N405" s="37" t="s">
        <v>2301</v>
      </c>
    </row>
    <row r="406" spans="1:14" x14ac:dyDescent="0.25">
      <c r="A406" s="6" t="s">
        <v>545</v>
      </c>
      <c r="B406" s="2" t="s">
        <v>591</v>
      </c>
      <c r="C406" s="2">
        <v>2016</v>
      </c>
      <c r="D406" s="32" t="str">
        <f>HYPERLINK("http://cgn.websites.wur.nl/website/pictures/Special_collection_CGNSC002/Juveniles/TKI 433 (2016-05-04).JPG","Yes")</f>
        <v>Yes</v>
      </c>
      <c r="E406" s="34" t="str">
        <f>HYPERLINK("http://cgn.websites.wur.nl/website/pictures/Special_collection_CGNSC002/Adults/TKI 433 (2016-05-30).JPG","Yes")</f>
        <v>Yes</v>
      </c>
      <c r="F406" s="33" t="str">
        <f>HYPERLINK("http://cgn.websites.wur.nl/website/pictures/Special_collection_CGNSC002/Flowers/TKI 433 (2016-09-08).JPG","Yes")</f>
        <v>Yes</v>
      </c>
      <c r="G406" s="33" t="str">
        <f>HYPERLINK("http://cgn.websites.wur.nl/website/pictures/Special_collection_CGNSC002/Seeds/TKI 433 (2016-12-07).JPG","Yes")</f>
        <v>Yes</v>
      </c>
      <c r="H406" s="1" t="s">
        <v>588</v>
      </c>
      <c r="I406" s="2" t="s">
        <v>600</v>
      </c>
      <c r="J406" s="15">
        <v>153</v>
      </c>
      <c r="K406" s="2"/>
      <c r="L406" s="2" t="s">
        <v>1877</v>
      </c>
      <c r="M406" s="2"/>
      <c r="N406" s="37" t="s">
        <v>2302</v>
      </c>
    </row>
    <row r="407" spans="1:14" x14ac:dyDescent="0.25">
      <c r="A407" s="6" t="s">
        <v>546</v>
      </c>
      <c r="B407" s="2" t="s">
        <v>591</v>
      </c>
      <c r="C407" s="2">
        <v>2016</v>
      </c>
      <c r="D407" s="32" t="str">
        <f>HYPERLINK("http://cgn.websites.wur.nl/website/pictures/Special_collection_CGNSC002/Juveniles/TKI 434 (2016-05-04).JPG","Yes")</f>
        <v>Yes</v>
      </c>
      <c r="E407" s="34" t="str">
        <f>HYPERLINK("http://cgn.websites.wur.nl/website/pictures/Special_collection_CGNSC002/Adults/TKI 434 (2016-05-30).JPG","Yes")</f>
        <v>Yes</v>
      </c>
      <c r="F407" s="33" t="str">
        <f>HYPERLINK("http://cgn.websites.wur.nl/website/pictures/Special_collection_CGNSC002/Flowers/TKI 434 (2016-08-15).JPG","Yes")</f>
        <v>Yes</v>
      </c>
      <c r="G407" s="33" t="str">
        <f>HYPERLINK("http://cgn.websites.wur.nl/website/pictures/Special_collection_CGNSC002/Seeds/TKI 434 (2016-12-07).JPG","Yes")</f>
        <v>Yes</v>
      </c>
      <c r="H407" s="1" t="s">
        <v>588</v>
      </c>
      <c r="I407" s="2" t="s">
        <v>600</v>
      </c>
      <c r="J407" s="15">
        <v>153</v>
      </c>
      <c r="K407" s="2"/>
      <c r="L407" s="2" t="s">
        <v>1876</v>
      </c>
      <c r="M407" s="2" t="s">
        <v>1875</v>
      </c>
      <c r="N407" s="37" t="s">
        <v>2303</v>
      </c>
    </row>
    <row r="408" spans="1:14" x14ac:dyDescent="0.25">
      <c r="A408" s="6" t="s">
        <v>547</v>
      </c>
      <c r="B408" s="2" t="s">
        <v>591</v>
      </c>
      <c r="C408" s="2">
        <v>2016</v>
      </c>
      <c r="D408" s="32" t="str">
        <f>HYPERLINK("http://cgn.websites.wur.nl/website/pictures/Special_collection_CGNSC002/Juveniles/TKI 435 (2016-05-04).JPG","Yes")</f>
        <v>Yes</v>
      </c>
      <c r="E408" s="34" t="str">
        <f>HYPERLINK("http://cgn.websites.wur.nl/website/pictures/Special_collection_CGNSC002/Adults/TKI 435 (2016-05-30).JPG","Yes")</f>
        <v>Yes</v>
      </c>
      <c r="F408" s="33" t="str">
        <f>HYPERLINK("http://cgn.websites.wur.nl/website/pictures/Special_collection_CGNSC002/Flowers/TKI 435 (2016-08-04).JPG","Yes")</f>
        <v>Yes</v>
      </c>
      <c r="G408" s="33" t="str">
        <f>HYPERLINK("http://cgn.websites.wur.nl/website/pictures/Special_collection_CGNSC002/Seeds/TKI 435 (2016-12-07).JPG","Yes")</f>
        <v>Yes</v>
      </c>
      <c r="H408" s="1" t="s">
        <v>588</v>
      </c>
      <c r="I408" s="2" t="s">
        <v>600</v>
      </c>
      <c r="J408" s="15">
        <v>153</v>
      </c>
      <c r="K408" s="2"/>
      <c r="L408" s="2" t="s">
        <v>1877</v>
      </c>
      <c r="M408" s="2"/>
      <c r="N408" s="37" t="s">
        <v>2304</v>
      </c>
    </row>
    <row r="409" spans="1:14" x14ac:dyDescent="0.25">
      <c r="A409" s="6" t="s">
        <v>548</v>
      </c>
      <c r="B409" s="2" t="s">
        <v>591</v>
      </c>
      <c r="C409" s="2">
        <v>2016</v>
      </c>
      <c r="D409" s="32" t="str">
        <f>HYPERLINK("http://cgn.websites.wur.nl/website/pictures/Special_collection_CGNSC002/Juveniles/TKI 436 (2016-05-04).JPG","Yes")</f>
        <v>Yes</v>
      </c>
      <c r="E409" s="34" t="str">
        <f>HYPERLINK("http://cgn.websites.wur.nl/website/pictures/Special_collection_CGNSC002/Adults/TKI 436 (2016-05-30).JPG","Yes")</f>
        <v>Yes</v>
      </c>
      <c r="F409" s="33" t="str">
        <f>HYPERLINK("http://cgn.websites.wur.nl/website/pictures/Special_collection_CGNSC002/Flowers/TKI 436 (2016-08-01).JPG","Yes")</f>
        <v>Yes</v>
      </c>
      <c r="G409" s="33" t="str">
        <f>HYPERLINK("http://cgn.websites.wur.nl/website/pictures/Special_collection_CGNSC002/Seeds/TKI 436 (2016-12-07).JPG","Yes")</f>
        <v>Yes</v>
      </c>
      <c r="H409" s="1" t="s">
        <v>588</v>
      </c>
      <c r="I409" s="2" t="s">
        <v>600</v>
      </c>
      <c r="J409" s="15">
        <v>153</v>
      </c>
      <c r="K409" s="2"/>
      <c r="L409" s="2" t="s">
        <v>1877</v>
      </c>
      <c r="M409" s="2"/>
      <c r="N409" s="37" t="s">
        <v>2305</v>
      </c>
    </row>
    <row r="410" spans="1:14" x14ac:dyDescent="0.25">
      <c r="A410" s="6" t="s">
        <v>549</v>
      </c>
      <c r="B410" s="2" t="s">
        <v>591</v>
      </c>
      <c r="C410" s="2">
        <v>2016</v>
      </c>
      <c r="D410" s="32" t="str">
        <f>HYPERLINK("http://cgn.websites.wur.nl/website/pictures/Special_collection_CGNSC002/Juveniles/TKI 437 (2016-05-04).JPG","Yes")</f>
        <v>Yes</v>
      </c>
      <c r="E410" s="34" t="str">
        <f>HYPERLINK("http://cgn.websites.wur.nl/website/pictures/Special_collection_CGNSC002/Adults/TKI 437 (2016-05-30).JPG","Yes")</f>
        <v>Yes</v>
      </c>
      <c r="F410" s="33" t="str">
        <f>HYPERLINK("http://cgn.websites.wur.nl/website/pictures/Special_collection_CGNSC002/Flowers/TKI 437 (2016-08-01).JPG","Yes")</f>
        <v>Yes</v>
      </c>
      <c r="G410" s="33" t="str">
        <f>HYPERLINK("http://cgn.websites.wur.nl/website/pictures/Special_collection_CGNSC002/Seeds/TKI 437 (2016-12-07).JPG","Yes")</f>
        <v>Yes</v>
      </c>
      <c r="H410" s="1" t="s">
        <v>588</v>
      </c>
      <c r="I410" s="2" t="s">
        <v>600</v>
      </c>
      <c r="J410" s="15">
        <v>144</v>
      </c>
      <c r="K410" s="2"/>
      <c r="L410" s="2" t="s">
        <v>1877</v>
      </c>
      <c r="M410" s="2"/>
      <c r="N410" s="37" t="s">
        <v>2306</v>
      </c>
    </row>
    <row r="411" spans="1:14" x14ac:dyDescent="0.25">
      <c r="A411" s="6" t="s">
        <v>550</v>
      </c>
      <c r="B411" s="2" t="s">
        <v>591</v>
      </c>
      <c r="C411" s="2">
        <v>2016</v>
      </c>
      <c r="D411" s="32" t="str">
        <f>HYPERLINK("http://cgn.websites.wur.nl/website/pictures/Special_collection_CGNSC002/Juveniles/TKI 438 (2016-05-04).JPG","Yes")</f>
        <v>Yes</v>
      </c>
      <c r="E411" s="34" t="str">
        <f>HYPERLINK("http://cgn.websites.wur.nl/website/pictures/Special_collection_CGNSC002/Adults/TKI 438 (2016-05-30).JPG","Yes")</f>
        <v>Yes</v>
      </c>
      <c r="F411" s="33"/>
      <c r="G411" s="33" t="str">
        <f>HYPERLINK("http://cgn.websites.wur.nl/website/pictures/Special_collection_CGNSC002/Seeds/TKI 438 (2016-12-07).JPG","Yes")</f>
        <v>Yes</v>
      </c>
      <c r="H411" s="1" t="s">
        <v>588</v>
      </c>
      <c r="I411" s="2" t="s">
        <v>599</v>
      </c>
      <c r="J411" s="15">
        <v>137</v>
      </c>
      <c r="K411" s="2"/>
      <c r="L411" s="2" t="s">
        <v>1877</v>
      </c>
      <c r="M411" s="2"/>
      <c r="N411" s="37" t="s">
        <v>2307</v>
      </c>
    </row>
    <row r="412" spans="1:14" x14ac:dyDescent="0.25">
      <c r="A412" s="6" t="s">
        <v>551</v>
      </c>
      <c r="B412" s="2" t="s">
        <v>591</v>
      </c>
      <c r="C412" s="2">
        <v>2016</v>
      </c>
      <c r="D412" s="32" t="str">
        <f>HYPERLINK("http://cgn.websites.wur.nl/website/pictures/Special_collection_CGNSC002/Juveniles/TKI 439 (2016-05-04).JPG","Yes")</f>
        <v>Yes</v>
      </c>
      <c r="E412" s="34" t="str">
        <f>HYPERLINK("http://cgn.websites.wur.nl/website/pictures/Special_collection_CGNSC002/Adults/TKI 439 (2016-05-30).JPG","Yes")</f>
        <v>Yes</v>
      </c>
      <c r="F412" s="33" t="str">
        <f>HYPERLINK("http://cgn.websites.wur.nl/website/pictures/Special_collection_CGNSC002/Flowers/TKI 439 (2016-08-08).JPG","Yes")</f>
        <v>Yes</v>
      </c>
      <c r="G412" s="33" t="str">
        <f>HYPERLINK("http://cgn.websites.wur.nl/website/pictures/Special_collection_CGNSC002/Seeds/TKI 439 (2016-12-07).JPG","Yes")</f>
        <v>Yes</v>
      </c>
      <c r="H412" s="1" t="s">
        <v>588</v>
      </c>
      <c r="I412" s="2" t="s">
        <v>599</v>
      </c>
      <c r="J412" s="15">
        <v>144</v>
      </c>
      <c r="K412" s="2"/>
      <c r="L412" s="2" t="s">
        <v>1877</v>
      </c>
      <c r="M412" s="2"/>
      <c r="N412" s="37" t="s">
        <v>2308</v>
      </c>
    </row>
    <row r="413" spans="1:14" x14ac:dyDescent="0.25">
      <c r="A413" s="6" t="s">
        <v>552</v>
      </c>
      <c r="B413" s="2" t="s">
        <v>591</v>
      </c>
      <c r="C413" s="2">
        <v>2016</v>
      </c>
      <c r="D413" s="32" t="str">
        <f>HYPERLINK("http://cgn.websites.wur.nl/website/pictures/Special_collection_CGNSC002/Juveniles/TKI 440 (2016-05-04).JPG","Yes")</f>
        <v>Yes</v>
      </c>
      <c r="E413" s="34" t="str">
        <f>HYPERLINK("http://cgn.websites.wur.nl/website/pictures/Special_collection_CGNSC002/Adults/TKI 440 (2016-05-30).JPG","Yes")</f>
        <v>Yes</v>
      </c>
      <c r="F413" s="33"/>
      <c r="G413" s="33" t="str">
        <f>HYPERLINK("http://cgn.websites.wur.nl/website/pictures/Special_collection_CGNSC002/Seeds/TKI 440 (2016-12-07).JPG","Yes")</f>
        <v>Yes</v>
      </c>
      <c r="H413" s="1" t="s">
        <v>588</v>
      </c>
      <c r="I413" s="2" t="s">
        <v>599</v>
      </c>
      <c r="J413" s="15">
        <v>137</v>
      </c>
      <c r="K413" s="2"/>
      <c r="L413" s="2" t="s">
        <v>1877</v>
      </c>
      <c r="M413" s="2"/>
      <c r="N413" s="37" t="s">
        <v>2309</v>
      </c>
    </row>
    <row r="414" spans="1:14" x14ac:dyDescent="0.25">
      <c r="A414" s="6" t="s">
        <v>553</v>
      </c>
      <c r="B414" s="2" t="s">
        <v>591</v>
      </c>
      <c r="C414" s="2">
        <v>2016</v>
      </c>
      <c r="D414" s="32" t="str">
        <f>HYPERLINK("http://cgn.websites.wur.nl/website/pictures/Special_collection_CGNSC002/Juveniles/TKI 441 (2016-05-04).JPG","Yes")</f>
        <v>Yes</v>
      </c>
      <c r="E414" s="34" t="str">
        <f>HYPERLINK("http://cgn.websites.wur.nl/website/pictures/Special_collection_CGNSC002/Adults/TKI 441 (2016-05-30).JPG","Yes")</f>
        <v>Yes</v>
      </c>
      <c r="F414" s="33" t="str">
        <f>HYPERLINK("http://cgn.websites.wur.nl/website/pictures/Special_collection_CGNSC002/Flowers/TKI 441 (2016-08-08).JPG","Yes")</f>
        <v>Yes</v>
      </c>
      <c r="G414" s="33" t="str">
        <f>HYPERLINK("http://cgn.websites.wur.nl/website/pictures/Special_collection_CGNSC002/Seeds/TKI 441 (2016-12-07).JPG","Yes")</f>
        <v>Yes</v>
      </c>
      <c r="H414" s="1" t="s">
        <v>588</v>
      </c>
      <c r="I414" s="2" t="s">
        <v>599</v>
      </c>
      <c r="J414" s="15">
        <v>137</v>
      </c>
      <c r="K414" s="2"/>
      <c r="L414" s="2" t="s">
        <v>1877</v>
      </c>
      <c r="M414" s="2"/>
      <c r="N414" s="37" t="s">
        <v>2310</v>
      </c>
    </row>
    <row r="415" spans="1:14" x14ac:dyDescent="0.25">
      <c r="A415" s="6" t="s">
        <v>554</v>
      </c>
      <c r="B415" s="2" t="s">
        <v>591</v>
      </c>
      <c r="C415" s="2">
        <v>2016</v>
      </c>
      <c r="D415" s="32" t="str">
        <f>HYPERLINK("http://cgn.websites.wur.nl/website/pictures/Special_collection_CGNSC002/Juveniles/TKI 442 (2016-05-04).JPG","Yes")</f>
        <v>Yes</v>
      </c>
      <c r="E415" s="34" t="str">
        <f>HYPERLINK("http://cgn.websites.wur.nl/website/pictures/Special_collection_CGNSC002/Adults/TKI 442 (2016-05-30).JPG","Yes")</f>
        <v>Yes</v>
      </c>
      <c r="F415" s="33" t="str">
        <f>HYPERLINK("http://cgn.websites.wur.nl/website/pictures/Special_collection_CGNSC002/Flowers/TKI 442 (2016-07-04).JPG","Yes")</f>
        <v>Yes</v>
      </c>
      <c r="G415" s="33" t="str">
        <f>HYPERLINK("http://cgn.websites.wur.nl/website/pictures/Special_collection_CGNSC002/Seeds/TKI 442 (2016-12-07).JPG","Yes")</f>
        <v>Yes</v>
      </c>
      <c r="H415" s="1" t="s">
        <v>588</v>
      </c>
      <c r="I415" s="2" t="s">
        <v>599</v>
      </c>
      <c r="J415" s="15">
        <v>144</v>
      </c>
      <c r="K415" s="2"/>
      <c r="L415" s="2" t="s">
        <v>1876</v>
      </c>
      <c r="M415" s="2" t="s">
        <v>1875</v>
      </c>
      <c r="N415" s="37" t="s">
        <v>2311</v>
      </c>
    </row>
    <row r="416" spans="1:14" x14ac:dyDescent="0.25">
      <c r="A416" s="6" t="s">
        <v>555</v>
      </c>
      <c r="B416" s="2" t="s">
        <v>591</v>
      </c>
      <c r="C416" s="2">
        <v>2016</v>
      </c>
      <c r="D416" s="32" t="str">
        <f>HYPERLINK("http://cgn.websites.wur.nl/website/pictures/Special_collection_CGNSC002/Juveniles/TKI 443 (2016-05-04).JPG","Yes")</f>
        <v>Yes</v>
      </c>
      <c r="E416" s="34" t="str">
        <f>HYPERLINK("http://cgn.websites.wur.nl/website/pictures/Special_collection_CGNSC002/Adults/TKI 443 (2016-05-30).JPG","Yes")</f>
        <v>Yes</v>
      </c>
      <c r="F416" s="33" t="str">
        <f>HYPERLINK("http://cgn.websites.wur.nl/website/pictures/Special_collection_CGNSC002/Flowers/TKI 443 (2016-07-14).JPG","Yes")</f>
        <v>Yes</v>
      </c>
      <c r="G416" s="33" t="str">
        <f>HYPERLINK("http://cgn.websites.wur.nl/website/pictures/Special_collection_CGNSC002/Seeds/TKI 443 (2016-12-07).JPG","Yes")</f>
        <v>Yes</v>
      </c>
      <c r="H416" s="1" t="s">
        <v>588</v>
      </c>
      <c r="I416" s="2" t="s">
        <v>599</v>
      </c>
      <c r="J416" s="15">
        <v>137</v>
      </c>
      <c r="K416" s="2"/>
      <c r="L416" s="2" t="s">
        <v>1877</v>
      </c>
      <c r="M416" s="2"/>
      <c r="N416" s="37" t="s">
        <v>2312</v>
      </c>
    </row>
    <row r="417" spans="1:15" x14ac:dyDescent="0.25">
      <c r="A417" s="6" t="s">
        <v>556</v>
      </c>
      <c r="B417" s="2" t="s">
        <v>591</v>
      </c>
      <c r="C417" s="2">
        <v>2016</v>
      </c>
      <c r="D417" s="32" t="str">
        <f>HYPERLINK("http://cgn.websites.wur.nl/website/pictures/Special_collection_CGNSC002/Juveniles/TKI 444 (2016-05-04).JPG","Yes")</f>
        <v>Yes</v>
      </c>
      <c r="E417" s="34" t="str">
        <f>HYPERLINK("http://cgn.websites.wur.nl/website/pictures/Special_collection_CGNSC002/Adults/TKI 444 (2016-05-30).JPG","Yes")</f>
        <v>Yes</v>
      </c>
      <c r="F417" s="33" t="str">
        <f>HYPERLINK("http://cgn.websites.wur.nl/website/pictures/Special_collection_CGNSC002/Flowers/TKI 444 (2016-06-23).JPG","Yes")</f>
        <v>Yes</v>
      </c>
      <c r="G417" s="33" t="str">
        <f>HYPERLINK("http://cgn.websites.wur.nl/website/pictures/Special_collection_CGNSC002/Seeds/TKI 444 (2016-12-07).JPG","Yes")</f>
        <v>Yes</v>
      </c>
      <c r="H417" s="1" t="s">
        <v>588</v>
      </c>
      <c r="I417" s="2" t="s">
        <v>599</v>
      </c>
      <c r="J417" s="15">
        <v>130</v>
      </c>
      <c r="K417" s="2"/>
      <c r="L417" s="2" t="s">
        <v>1877</v>
      </c>
      <c r="M417" s="2"/>
      <c r="N417" s="37" t="s">
        <v>2313</v>
      </c>
    </row>
    <row r="418" spans="1:15" x14ac:dyDescent="0.25">
      <c r="A418" s="6" t="s">
        <v>557</v>
      </c>
      <c r="B418" s="2" t="s">
        <v>591</v>
      </c>
      <c r="C418" s="2">
        <v>2016</v>
      </c>
      <c r="D418" s="32" t="str">
        <f>HYPERLINK("http://cgn.websites.wur.nl/website/pictures/Special_collection_CGNSC002/Juveniles/TKI 445 (2016-05-04).JPG","Yes")</f>
        <v>Yes</v>
      </c>
      <c r="E418" s="34" t="str">
        <f>HYPERLINK("http://cgn.websites.wur.nl/website/pictures/Special_collection_CGNSC002/Adults/TKI 445 (2016-05-30).JPG","Yes")</f>
        <v>Yes</v>
      </c>
      <c r="F418" s="33" t="str">
        <f>HYPERLINK("http://cgn.websites.wur.nl/website/pictures/Special_collection_CGNSC002/Flowers/TKI 445 (2016-09-05).JPG","Yes")</f>
        <v>Yes</v>
      </c>
      <c r="G418" s="33" t="str">
        <f>HYPERLINK("http://cgn.websites.wur.nl/website/pictures/Special_collection_CGNSC002/Seeds/TKI 445 (2016-12-07).JPG","Yes")</f>
        <v>Yes</v>
      </c>
      <c r="H418" s="1" t="s">
        <v>588</v>
      </c>
      <c r="I418" s="2" t="s">
        <v>599</v>
      </c>
      <c r="J418" s="15">
        <v>147</v>
      </c>
      <c r="K418" s="2"/>
      <c r="L418" s="2" t="s">
        <v>1877</v>
      </c>
      <c r="M418" s="2"/>
      <c r="N418" s="37" t="s">
        <v>2314</v>
      </c>
    </row>
    <row r="419" spans="1:15" x14ac:dyDescent="0.25">
      <c r="A419" s="6" t="s">
        <v>558</v>
      </c>
      <c r="B419" s="2" t="s">
        <v>591</v>
      </c>
      <c r="C419" s="2">
        <v>2016</v>
      </c>
      <c r="D419" s="32" t="str">
        <f>HYPERLINK("http://cgn.websites.wur.nl/website/pictures/Special_collection_CGNSC002/Juveniles/TKI 446 (2016-05-04).JPG","Yes")</f>
        <v>Yes</v>
      </c>
      <c r="E419" s="34" t="str">
        <f>HYPERLINK("http://cgn.websites.wur.nl/website/pictures/Special_collection_CGNSC002/Adults/TKI 446 (2016-05-30).JPG","Yes")</f>
        <v>Yes</v>
      </c>
      <c r="F419" s="33" t="str">
        <f>HYPERLINK("http://cgn.websites.wur.nl/website/pictures/Special_collection_CGNSC002/Flowers/TKI 446 (2016-06-27).JPG","Yes")</f>
        <v>Yes</v>
      </c>
      <c r="G419" s="33" t="str">
        <f>HYPERLINK("http://cgn.websites.wur.nl/website/pictures/Special_collection_CGNSC002/Seeds/TKI 446 (2016-12-07).JPG","Yes")</f>
        <v>Yes</v>
      </c>
      <c r="H419" s="1" t="s">
        <v>588</v>
      </c>
      <c r="I419" s="2" t="s">
        <v>600</v>
      </c>
      <c r="J419" s="15">
        <v>124</v>
      </c>
      <c r="K419" s="2"/>
      <c r="L419" s="2" t="s">
        <v>1877</v>
      </c>
      <c r="M419" s="2"/>
      <c r="N419" s="37" t="s">
        <v>2315</v>
      </c>
      <c r="O419" s="35"/>
    </row>
    <row r="420" spans="1:15" x14ac:dyDescent="0.25">
      <c r="A420" s="6" t="s">
        <v>559</v>
      </c>
      <c r="B420" s="2" t="s">
        <v>591</v>
      </c>
      <c r="C420" s="2">
        <v>2016</v>
      </c>
      <c r="D420" s="32" t="str">
        <f>HYPERLINK("http://cgn.websites.wur.nl/website/pictures/Special_collection_CGNSC002/Juveniles/TKI 447 (2016-05-04).JPG","Yes")</f>
        <v>Yes</v>
      </c>
      <c r="E420" s="34" t="str">
        <f>HYPERLINK("http://cgn.websites.wur.nl/website/pictures/Special_collection_CGNSC002/Adults/TKI 447 (2016-05-30).JPG","Yes")</f>
        <v>Yes</v>
      </c>
      <c r="F420" s="33"/>
      <c r="G420" s="33" t="str">
        <f>HYPERLINK("http://cgn.websites.wur.nl/website/pictures/Special_collection_CGNSC002/Seeds/TKI 447 (2016-12-07).JPG","Yes")</f>
        <v>Yes</v>
      </c>
      <c r="H420" s="1" t="s">
        <v>588</v>
      </c>
      <c r="I420" s="2" t="s">
        <v>600</v>
      </c>
      <c r="J420" s="15">
        <v>144</v>
      </c>
      <c r="K420" s="2"/>
      <c r="L420" s="2" t="s">
        <v>1877</v>
      </c>
      <c r="M420" s="2"/>
      <c r="N420" s="37" t="s">
        <v>2316</v>
      </c>
      <c r="O420" s="35"/>
    </row>
    <row r="421" spans="1:15" x14ac:dyDescent="0.25">
      <c r="A421" s="6" t="s">
        <v>560</v>
      </c>
      <c r="B421" s="2" t="s">
        <v>591</v>
      </c>
      <c r="C421" s="2">
        <v>2016</v>
      </c>
      <c r="D421" s="32" t="str">
        <f>HYPERLINK("http://cgn.websites.wur.nl/website/pictures/Special_collection_CGNSC002/Juveniles/TKI 448 (2016-05-04).JPG","Yes")</f>
        <v>Yes</v>
      </c>
      <c r="E421" s="34" t="str">
        <f>HYPERLINK("http://cgn.websites.wur.nl/website/pictures/Special_collection_CGNSC002/Adults/TKI 448 (2016-05-30).JPG","Yes")</f>
        <v>Yes</v>
      </c>
      <c r="F421" s="33" t="str">
        <f>HYPERLINK("http://cgn.websites.wur.nl/website/pictures/Special_collection_CGNSC002/Flowers/TKI 448 (2016-08-01).JPG","Yes")</f>
        <v>Yes</v>
      </c>
      <c r="G421" s="33" t="str">
        <f>HYPERLINK("http://cgn.websites.wur.nl/website/pictures/Special_collection_CGNSC002/Seeds/TKI 448 (2016-12-07).JPG","Yes")</f>
        <v>Yes</v>
      </c>
      <c r="H421" s="1" t="s">
        <v>588</v>
      </c>
      <c r="I421" s="2" t="s">
        <v>600</v>
      </c>
      <c r="J421" s="15">
        <v>144</v>
      </c>
      <c r="K421" s="2"/>
      <c r="L421" s="2" t="s">
        <v>1877</v>
      </c>
      <c r="M421" s="2"/>
      <c r="N421" s="37" t="s">
        <v>2317</v>
      </c>
      <c r="O421" s="35"/>
    </row>
    <row r="422" spans="1:15" x14ac:dyDescent="0.25">
      <c r="A422" s="6" t="s">
        <v>561</v>
      </c>
      <c r="B422" s="2" t="s">
        <v>591</v>
      </c>
      <c r="C422" s="2">
        <v>2016</v>
      </c>
      <c r="D422" s="32" t="str">
        <f>HYPERLINK("http://cgn.websites.wur.nl/website/pictures/Special_collection_CGNSC002/Juveniles/TKI 449 (2016-05-04).JPG","Yes")</f>
        <v>Yes</v>
      </c>
      <c r="E422" s="34" t="str">
        <f>HYPERLINK("http://cgn.websites.wur.nl/website/pictures/Special_collection_CGNSC002/Adults/TKI 449 (2016-05-30).JPG","Yes")</f>
        <v>Yes</v>
      </c>
      <c r="F422" s="33" t="str">
        <f>HYPERLINK("http://cgn.websites.wur.nl/website/pictures/Special_collection_CGNSC002/Flowers/TKI 449 (2016-07-04).JPG","Yes")</f>
        <v>Yes</v>
      </c>
      <c r="G422" s="33" t="str">
        <f>HYPERLINK("http://cgn.websites.wur.nl/website/pictures/Special_collection_CGNSC002/Seeds/TKI 449 (2016-12-07).JPG","Yes")</f>
        <v>Yes</v>
      </c>
      <c r="H422" s="1" t="s">
        <v>588</v>
      </c>
      <c r="I422" s="2" t="s">
        <v>600</v>
      </c>
      <c r="J422" s="15">
        <v>137</v>
      </c>
      <c r="K422" s="2" t="s">
        <v>641</v>
      </c>
      <c r="L422" s="2" t="s">
        <v>1877</v>
      </c>
      <c r="M422" s="2"/>
      <c r="N422" s="37" t="s">
        <v>2318</v>
      </c>
      <c r="O422" s="35"/>
    </row>
    <row r="423" spans="1:15" x14ac:dyDescent="0.25">
      <c r="A423" s="6" t="s">
        <v>562</v>
      </c>
      <c r="B423" s="2" t="s">
        <v>591</v>
      </c>
      <c r="C423" s="2">
        <v>2016</v>
      </c>
      <c r="D423" s="32" t="str">
        <f>HYPERLINK("http://cgn.websites.wur.nl/website/pictures/Special_collection_CGNSC002/Juveniles/TKI 450 (2016-05-04).JPG","Yes")</f>
        <v>Yes</v>
      </c>
      <c r="E423" s="34" t="str">
        <f>HYPERLINK("http://cgn.websites.wur.nl/website/pictures/Special_collection_CGNSC002/Adults/TKI 450 (2016-05-30).JPG","Yes")</f>
        <v>Yes</v>
      </c>
      <c r="F423" s="33" t="str">
        <f>HYPERLINK("http://cgn.websites.wur.nl/website/pictures/Special_collection_CGNSC002/Flowers/TKI 450 (2016-07-14).JPG","Yes")</f>
        <v>Yes</v>
      </c>
      <c r="G423" s="33" t="str">
        <f>HYPERLINK("http://cgn.websites.wur.nl/website/pictures/Special_collection_CGNSC002/Seeds/TKI 450 (2016-12-07).JPG","Yes")</f>
        <v>Yes</v>
      </c>
      <c r="H423" s="1" t="s">
        <v>588</v>
      </c>
      <c r="I423" s="2" t="s">
        <v>599</v>
      </c>
      <c r="J423" s="15">
        <v>144</v>
      </c>
      <c r="K423" s="2"/>
      <c r="L423" s="2" t="s">
        <v>1877</v>
      </c>
      <c r="M423" s="2"/>
      <c r="N423" s="37" t="s">
        <v>2319</v>
      </c>
      <c r="O423" s="35"/>
    </row>
    <row r="424" spans="1:15" x14ac:dyDescent="0.25">
      <c r="A424" s="6" t="s">
        <v>563</v>
      </c>
      <c r="B424" s="2" t="s">
        <v>591</v>
      </c>
      <c r="C424" s="2">
        <v>2016</v>
      </c>
      <c r="D424" s="32" t="str">
        <f>HYPERLINK("http://cgn.websites.wur.nl/website/pictures/Special_collection_CGNSC002/Juveniles/TKI 451 (2016-05-04).JPG","Yes")</f>
        <v>Yes</v>
      </c>
      <c r="E424" s="34" t="str">
        <f>HYPERLINK("http://cgn.websites.wur.nl/website/pictures/Special_collection_CGNSC002/Adults/TKI 451 (2016-05-30).JPG","Yes")</f>
        <v>Yes</v>
      </c>
      <c r="F424" s="33" t="str">
        <f>HYPERLINK("http://cgn.websites.wur.nl/website/pictures/Special_collection_CGNSC002/Flowers/TKI 451 (2016-06-27).JPG","Yes")</f>
        <v>Yes</v>
      </c>
      <c r="G424" s="33" t="str">
        <f>HYPERLINK("http://cgn.websites.wur.nl/website/pictures/Special_collection_CGNSC002/Seeds/TKI 451 (2016-12-07).JPG","Yes")</f>
        <v>Yes</v>
      </c>
      <c r="H424" s="1" t="s">
        <v>588</v>
      </c>
      <c r="I424" s="2" t="s">
        <v>599</v>
      </c>
      <c r="J424" s="15">
        <v>137</v>
      </c>
      <c r="K424" s="2"/>
      <c r="L424" s="2" t="s">
        <v>1877</v>
      </c>
      <c r="M424" s="2"/>
      <c r="N424" s="37" t="s">
        <v>2320</v>
      </c>
      <c r="O424" s="35"/>
    </row>
    <row r="425" spans="1:15" x14ac:dyDescent="0.25">
      <c r="A425" s="6" t="s">
        <v>564</v>
      </c>
      <c r="B425" s="2" t="s">
        <v>591</v>
      </c>
      <c r="C425" s="2">
        <v>2016</v>
      </c>
      <c r="D425" s="32" t="str">
        <f>HYPERLINK("http://cgn.websites.wur.nl/website/pictures/Special_collection_CGNSC002/Juveniles/TKI 452 (2015-11-16).JPG","Yes")</f>
        <v>Yes</v>
      </c>
      <c r="E425" s="34" t="str">
        <f>HYPERLINK("http://cgn.websites.wur.nl/website/pictures/Special_collection_CGNSC002/Adults/TKI 452 (2016-04-04).JPG","Yes")</f>
        <v>Yes</v>
      </c>
      <c r="F425" s="33" t="str">
        <f>HYPERLINK("http://cgn.websites.wur.nl/website/pictures/Special_collection_CGNSC002/Flowers/TKI 452 (2016-06-09).JPG","Yes")</f>
        <v>Yes</v>
      </c>
      <c r="G425" s="33" t="str">
        <f>HYPERLINK("http://cgn.websites.wur.nl/website/pictures/Special_collection_CGNSC002/Seeds/TKI 452 (2016-11-23).JPG","Yes")</f>
        <v>Yes</v>
      </c>
      <c r="H425" s="1" t="s">
        <v>588</v>
      </c>
      <c r="I425" s="2" t="s">
        <v>600</v>
      </c>
      <c r="J425" s="15">
        <v>250</v>
      </c>
      <c r="K425" s="2"/>
      <c r="L425" s="2" t="s">
        <v>1877</v>
      </c>
      <c r="M425" s="2"/>
      <c r="N425" s="37" t="s">
        <v>2321</v>
      </c>
      <c r="O425" s="35"/>
    </row>
    <row r="426" spans="1:15" x14ac:dyDescent="0.25">
      <c r="A426" s="6" t="s">
        <v>565</v>
      </c>
      <c r="B426" s="2" t="s">
        <v>591</v>
      </c>
      <c r="C426" s="2">
        <v>2016</v>
      </c>
      <c r="D426" s="32" t="str">
        <f>HYPERLINK("http://cgn.websites.wur.nl/website/pictures/Special_collection_CGNSC002/Juveniles/TKI 453 (2015-11-16).JPG","Yes")</f>
        <v>Yes</v>
      </c>
      <c r="E426" s="34" t="str">
        <f>HYPERLINK("http://cgn.websites.wur.nl/website/pictures/Special_collection_CGNSC002/Adults/TKI 453 (2016-04-04).JPG","Yes")</f>
        <v>Yes</v>
      </c>
      <c r="F426" s="33" t="str">
        <f>HYPERLINK("http://cgn.websites.wur.nl/website/pictures/Special_collection_CGNSC002/Flowers/TKI 453 (2016-06-09).JPG","Yes")</f>
        <v>Yes</v>
      </c>
      <c r="G426" s="33" t="str">
        <f>HYPERLINK("http://cgn.websites.wur.nl/website/pictures/Special_collection_CGNSC002/Seeds/TKI 453 (2016-11-23).JPG","Yes")</f>
        <v>Yes</v>
      </c>
      <c r="H426" s="1" t="s">
        <v>588</v>
      </c>
      <c r="I426" s="2" t="s">
        <v>600</v>
      </c>
      <c r="J426" s="15">
        <v>250</v>
      </c>
      <c r="K426" s="2"/>
      <c r="L426" s="2" t="s">
        <v>1877</v>
      </c>
      <c r="M426" s="2" t="s">
        <v>1875</v>
      </c>
      <c r="N426" s="37" t="s">
        <v>2322</v>
      </c>
      <c r="O426" s="35"/>
    </row>
    <row r="427" spans="1:15" x14ac:dyDescent="0.25">
      <c r="A427" s="6" t="s">
        <v>566</v>
      </c>
      <c r="B427" s="2" t="s">
        <v>591</v>
      </c>
      <c r="C427" s="2">
        <v>2016</v>
      </c>
      <c r="D427" s="32" t="str">
        <f>HYPERLINK("http://cgn.websites.wur.nl/website/pictures/Special_collection_CGNSC002/Juveniles/TKI 454 (2015-11-16).JPG","Yes")</f>
        <v>Yes</v>
      </c>
      <c r="E427" s="34" t="str">
        <f>HYPERLINK("http://cgn.websites.wur.nl/website/pictures/Special_collection_CGNSC002/Adults/TKI 454 (2016-04-04).JPG","Yes")</f>
        <v>Yes</v>
      </c>
      <c r="F427" s="33" t="str">
        <f>HYPERLINK("http://cgn.websites.wur.nl/website/pictures/Special_collection_CGNSC002/Flowers/TKI 454 (2016-06-09).JPG","Yes")</f>
        <v>Yes</v>
      </c>
      <c r="G427" s="33" t="str">
        <f>HYPERLINK("http://cgn.websites.wur.nl/website/pictures/Special_collection_CGNSC002/Seeds/TKI 454 (2016-11-23).JPG","Yes")</f>
        <v>Yes</v>
      </c>
      <c r="H427" s="1" t="s">
        <v>588</v>
      </c>
      <c r="I427" s="2" t="s">
        <v>600</v>
      </c>
      <c r="J427" s="15">
        <v>250</v>
      </c>
      <c r="K427" s="2"/>
      <c r="L427" s="2" t="s">
        <v>1876</v>
      </c>
      <c r="M427" s="2" t="s">
        <v>1875</v>
      </c>
      <c r="N427" s="37" t="s">
        <v>2323</v>
      </c>
    </row>
    <row r="428" spans="1:15" x14ac:dyDescent="0.25">
      <c r="A428" s="6" t="s">
        <v>567</v>
      </c>
      <c r="B428" s="2" t="s">
        <v>591</v>
      </c>
      <c r="C428" s="2">
        <v>2016</v>
      </c>
      <c r="D428" s="32" t="str">
        <f>HYPERLINK("http://cgn.websites.wur.nl/website/pictures/Special_collection_CGNSC002/Juveniles/TKI 455 (2015-11-16).JPG","Yes")</f>
        <v>Yes</v>
      </c>
      <c r="E428" s="34" t="str">
        <f>HYPERLINK("http://cgn.websites.wur.nl/website/pictures/Special_collection_CGNSC002/Adults/TKI 455 (2016-04-04).JPG","Yes")</f>
        <v>Yes</v>
      </c>
      <c r="F428" s="33" t="str">
        <f>HYPERLINK("http://cgn.websites.wur.nl/website/pictures/Special_collection_CGNSC002/Flowers/TKI 455 (2016-06-09).JPG","Yes")</f>
        <v>Yes</v>
      </c>
      <c r="G428" s="33" t="str">
        <f>HYPERLINK("http://cgn.websites.wur.nl/website/pictures/Special_collection_CGNSC002/Seeds/TKI 455 (2016-11-23).JPG","Yes")</f>
        <v>Yes</v>
      </c>
      <c r="H428" s="1" t="s">
        <v>588</v>
      </c>
      <c r="I428" s="2" t="s">
        <v>600</v>
      </c>
      <c r="J428" s="15">
        <v>250</v>
      </c>
      <c r="K428" s="2"/>
      <c r="L428" s="2" t="s">
        <v>1877</v>
      </c>
      <c r="M428" s="2"/>
      <c r="N428" s="37" t="s">
        <v>2324</v>
      </c>
      <c r="O428" s="35"/>
    </row>
    <row r="429" spans="1:15" x14ac:dyDescent="0.25">
      <c r="A429" s="6" t="s">
        <v>568</v>
      </c>
      <c r="B429" s="2" t="s">
        <v>591</v>
      </c>
      <c r="C429" s="2">
        <v>2016</v>
      </c>
      <c r="D429" s="32" t="str">
        <f>HYPERLINK("http://cgn.websites.wur.nl/website/pictures/Special_collection_CGNSC002/Juveniles/TKI 456 (2015-11-16).JPG","Yes")</f>
        <v>Yes</v>
      </c>
      <c r="E429" s="34" t="str">
        <f>HYPERLINK("http://cgn.websites.wur.nl/website/pictures/Special_collection_CGNSC002/Adults/TKI 456 (2016-04-04).JPG","Yes")</f>
        <v>Yes</v>
      </c>
      <c r="F429" s="33"/>
      <c r="G429" s="33" t="str">
        <f>HYPERLINK("http://cgn.websites.wur.nl/website/pictures/Special_collection_CGNSC002/Seeds/TKI 456 (2016-11-23).JPG","Yes")</f>
        <v>Yes</v>
      </c>
      <c r="H429" s="1" t="s">
        <v>588</v>
      </c>
      <c r="I429" s="2" t="s">
        <v>600</v>
      </c>
      <c r="J429" s="15">
        <v>299</v>
      </c>
      <c r="K429" s="2"/>
      <c r="L429" s="2" t="s">
        <v>1877</v>
      </c>
      <c r="M429" s="2" t="s">
        <v>1875</v>
      </c>
      <c r="N429" s="37" t="s">
        <v>2325</v>
      </c>
      <c r="O429" s="35"/>
    </row>
    <row r="430" spans="1:15" s="35" customFormat="1" x14ac:dyDescent="0.25">
      <c r="A430" s="6" t="s">
        <v>1867</v>
      </c>
      <c r="B430" s="2" t="s">
        <v>591</v>
      </c>
      <c r="C430" s="2">
        <v>2017</v>
      </c>
      <c r="D430" s="32" t="str">
        <f>HYPERLINK("http://cgn.websites.wur.nl/website/pictures/Special_collection_CGNSC002/Juveniles/TKI 457 (2015-11-16).JPG","Yes")</f>
        <v>Yes</v>
      </c>
      <c r="E430" s="32" t="str">
        <f>HYPERLINK("http://cgn.websites.wur.nl/website/pictures/Special_collection_CGNSC002/Adults/TKI 457 (2016-04-04).JPG","Yes")</f>
        <v>Yes</v>
      </c>
      <c r="F430" s="32" t="str">
        <f>HYPERLINK("http://cgn.websites.wur.nl/website/pictures/Special_collection_CGNSC002/Flowers/TKI 457 (2017-05-31).JPG","Yes")</f>
        <v>Yes</v>
      </c>
      <c r="G430" s="32" t="str">
        <f>HYPERLINK("http://cgn.websites.wur.nl/website/pictures/Special_collection_CGNSC002/Seeds/TKI 457 (2018-01-25).JPG","Yes")</f>
        <v>Yes</v>
      </c>
      <c r="H430" s="1" t="s">
        <v>588</v>
      </c>
      <c r="I430" s="2" t="s">
        <v>600</v>
      </c>
      <c r="J430" s="15">
        <v>603</v>
      </c>
      <c r="K430" s="2"/>
      <c r="L430" s="2"/>
      <c r="M430" s="2"/>
      <c r="N430" s="37" t="s">
        <v>2326</v>
      </c>
    </row>
    <row r="431" spans="1:15" s="35" customFormat="1" x14ac:dyDescent="0.25">
      <c r="A431" s="6" t="s">
        <v>1868</v>
      </c>
      <c r="B431" s="2" t="s">
        <v>591</v>
      </c>
      <c r="C431" s="2">
        <v>2017</v>
      </c>
      <c r="D431" s="32" t="str">
        <f>HYPERLINK("http://cgn.websites.wur.nl/website/pictures/Special_collection_CGNSC002/Juveniles/TKI 458 (2015-11-16).JPG","Yes")</f>
        <v>Yes</v>
      </c>
      <c r="E431" s="32" t="str">
        <f>HYPERLINK("http://cgn.websites.wur.nl/website/pictures/Special_collection_CGNSC002/Adults/TKI 458 (2016-04-04).JPG","Yes")</f>
        <v>Yes</v>
      </c>
      <c r="F431" s="32" t="str">
        <f>HYPERLINK("http://cgn.websites.wur.nl/website/pictures/Special_collection_CGNSC002/Flowers/TKI 458 (2017-05-31).JPG","Yes")</f>
        <v>Yes</v>
      </c>
      <c r="G431" s="32" t="str">
        <f>HYPERLINK("http://cgn.websites.wur.nl/website/pictures/Special_collection_CGNSC002/Seeds/TKI 458 (2018-01-25).JPG","Yes")</f>
        <v>Yes</v>
      </c>
      <c r="H431" s="1" t="s">
        <v>588</v>
      </c>
      <c r="I431" s="2" t="s">
        <v>599</v>
      </c>
      <c r="J431" s="15">
        <v>607</v>
      </c>
      <c r="K431" s="2"/>
      <c r="L431" s="2"/>
      <c r="M431" s="2"/>
      <c r="N431" s="37" t="s">
        <v>2327</v>
      </c>
    </row>
    <row r="432" spans="1:15" s="35" customFormat="1" x14ac:dyDescent="0.25">
      <c r="A432" s="6" t="s">
        <v>1869</v>
      </c>
      <c r="B432" s="2" t="s">
        <v>591</v>
      </c>
      <c r="C432" s="2">
        <v>2017</v>
      </c>
      <c r="D432" s="32" t="str">
        <f>HYPERLINK("http://cgn.websites.wur.nl/website/pictures/Special_collection_CGNSC002/Juveniles/TKI 459 (2015-11-16).JPG","Yes")</f>
        <v>Yes</v>
      </c>
      <c r="E432" s="32" t="str">
        <f>HYPERLINK("http://cgn.websites.wur.nl/website/pictures/Special_collection_CGNSC002/Adults/TKI 459 (2016-04-04).JPG","Yes")</f>
        <v>Yes</v>
      </c>
      <c r="F432" s="32" t="str">
        <f>HYPERLINK("http://cgn.websites.wur.nl/website/pictures/Special_collection_CGNSC002/Flowers/TKI 459 (2017-06-19).JPG","Yes")</f>
        <v>Yes</v>
      </c>
      <c r="G432" s="32" t="str">
        <f>HYPERLINK("http://cgn.websites.wur.nl/website/pictures/Special_collection_CGNSC002/Seeds/TKI 459 (2018-01-25).JPG","Yes")</f>
        <v>Yes</v>
      </c>
      <c r="H432" s="1" t="s">
        <v>588</v>
      </c>
      <c r="I432" s="2" t="s">
        <v>599</v>
      </c>
      <c r="J432" s="15">
        <v>618</v>
      </c>
      <c r="K432" s="2"/>
      <c r="L432" s="2"/>
      <c r="M432" s="2"/>
      <c r="N432" s="37" t="s">
        <v>2328</v>
      </c>
      <c r="O432"/>
    </row>
    <row r="433" spans="1:15" s="35" customFormat="1" x14ac:dyDescent="0.25">
      <c r="A433" s="6" t="s">
        <v>1870</v>
      </c>
      <c r="B433" s="2" t="s">
        <v>591</v>
      </c>
      <c r="C433" s="2">
        <v>2017</v>
      </c>
      <c r="D433" s="32" t="str">
        <f>HYPERLINK("http://cgn.websites.wur.nl/website/pictures/Special_collection_CGNSC002/Juveniles/TKI 461 (2015-11-16).JPG","Yes")</f>
        <v>Yes</v>
      </c>
      <c r="E433" s="32" t="str">
        <f>HYPERLINK("http://cgn.websites.wur.nl/website/pictures/Special_collection_CGNSC002/Adults/TKI 461 (2016-04-04).JPG","Yes")</f>
        <v>Yes</v>
      </c>
      <c r="F433" s="32" t="str">
        <f>HYPERLINK("http://cgn.websites.wur.nl/website/pictures/Special_collection_CGNSC002/Flowers/TKI 461 (2017-05-31).JPG","Yes")</f>
        <v>Yes</v>
      </c>
      <c r="G433" s="32" t="str">
        <f>HYPERLINK("http://cgn.websites.wur.nl/website/pictures/Special_collection_CGNSC002/Seeds/TKI 461 (2018-01-25).JPG","Yes")</f>
        <v>Yes</v>
      </c>
      <c r="H433" s="1" t="s">
        <v>588</v>
      </c>
      <c r="I433" s="2" t="s">
        <v>600</v>
      </c>
      <c r="J433" s="15">
        <v>596</v>
      </c>
      <c r="K433" s="2"/>
      <c r="L433" s="2"/>
      <c r="M433" s="2"/>
      <c r="N433" s="37" t="s">
        <v>2329</v>
      </c>
      <c r="O433"/>
    </row>
    <row r="434" spans="1:15" s="35" customFormat="1" x14ac:dyDescent="0.25">
      <c r="A434" s="6" t="s">
        <v>569</v>
      </c>
      <c r="B434" s="2" t="s">
        <v>591</v>
      </c>
      <c r="C434" s="2">
        <v>2016</v>
      </c>
      <c r="D434" s="32" t="str">
        <f>HYPERLINK("http://cgn.websites.wur.nl/website/pictures/Special_collection_CGNSC002/Juveniles/TKI 462 (2015-11-16).JPG","Yes")</f>
        <v>Yes</v>
      </c>
      <c r="E434" s="34" t="str">
        <f>HYPERLINK("http://cgn.websites.wur.nl/website/pictures/Special_collection_CGNSC002/Adults/TKI 462 (2016-04-04).JPG","Yes")</f>
        <v>Yes</v>
      </c>
      <c r="F434" s="33" t="str">
        <f>HYPERLINK("http://cgn.websites.wur.nl/website/pictures/Special_collection_CGNSC002/Flowers/TKI 462 (2016-07-28).JPG","Yes")</f>
        <v>Yes</v>
      </c>
      <c r="G434" s="33" t="str">
        <f>HYPERLINK("http://cgn.websites.wur.nl/website/pictures/Special_collection_CGNSC002/Seeds/TKI 462 (2016-11-23).JPG","Yes")</f>
        <v>Yes</v>
      </c>
      <c r="H434" s="1" t="s">
        <v>588</v>
      </c>
      <c r="I434" s="2" t="s">
        <v>600</v>
      </c>
      <c r="J434" s="15">
        <v>270</v>
      </c>
      <c r="K434" s="2"/>
      <c r="L434" s="2" t="s">
        <v>1877</v>
      </c>
      <c r="M434" s="2"/>
      <c r="N434" s="37" t="s">
        <v>2330</v>
      </c>
    </row>
    <row r="435" spans="1:15" s="35" customFormat="1" x14ac:dyDescent="0.25">
      <c r="A435" s="6" t="s">
        <v>1871</v>
      </c>
      <c r="B435" s="2" t="s">
        <v>591</v>
      </c>
      <c r="C435" s="2">
        <v>2017</v>
      </c>
      <c r="D435" s="32" t="str">
        <f>HYPERLINK("http://cgn.websites.wur.nl/website/pictures/Special_collection_CGNSC002/Juveniles/TKI 463 (2015-11-16).JPG","Yes")</f>
        <v>Yes</v>
      </c>
      <c r="E435" s="32" t="str">
        <f>HYPERLINK("http://cgn.websites.wur.nl/website/pictures/Special_collection_CGNSC002/Adults/TKI 463 (2016-04-04).JPG","Yes")</f>
        <v>Yes</v>
      </c>
      <c r="F435" s="32" t="str">
        <f>HYPERLINK("http://cgn.websites.wur.nl/website/pictures/Special_collection_CGNSC002/Flowers/TKI 463 (2017-06-19).JPG","Yes")</f>
        <v>Yes</v>
      </c>
      <c r="G435" s="32" t="str">
        <f>HYPERLINK("http://cgn.websites.wur.nl/website/pictures/Special_collection_CGNSC002/Seeds/TKI 463 (2018-01-25).JPG","Yes")</f>
        <v>Yes</v>
      </c>
      <c r="H435" s="1" t="s">
        <v>588</v>
      </c>
      <c r="I435" s="2" t="s">
        <v>599</v>
      </c>
      <c r="J435" s="15">
        <v>618</v>
      </c>
      <c r="K435" s="2"/>
      <c r="L435" s="2"/>
      <c r="M435" s="2"/>
      <c r="N435" s="37" t="s">
        <v>2331</v>
      </c>
      <c r="O435"/>
    </row>
    <row r="436" spans="1:15" s="35" customFormat="1" x14ac:dyDescent="0.25">
      <c r="A436" s="6" t="s">
        <v>570</v>
      </c>
      <c r="B436" s="2" t="s">
        <v>591</v>
      </c>
      <c r="C436" s="2">
        <v>2016</v>
      </c>
      <c r="D436" s="32" t="str">
        <f>HYPERLINK("http://cgn.websites.wur.nl/website/pictures/Special_collection_CGNSC002/Juveniles/TKI 464 (2016-05-04).JPG","Yes")</f>
        <v>Yes</v>
      </c>
      <c r="E436" s="34" t="str">
        <f>HYPERLINK("http://cgn.websites.wur.nl/website/pictures/Special_collection_CGNSC002/Adults/TKI 464 (2016-05-26).JPG","Yes")</f>
        <v>Yes</v>
      </c>
      <c r="F436" s="33"/>
      <c r="G436" s="33" t="str">
        <f>HYPERLINK("http://cgn.websites.wur.nl/website/pictures/Special_collection_CGNSC002/Seeds/TKI 464 (2016-11-23).JPG","Yes")</f>
        <v>Yes</v>
      </c>
      <c r="H436" s="1"/>
      <c r="I436" s="2" t="s">
        <v>599</v>
      </c>
      <c r="J436" s="15">
        <v>137</v>
      </c>
      <c r="K436" s="2"/>
      <c r="L436" s="2" t="s">
        <v>1876</v>
      </c>
      <c r="M436" s="2" t="s">
        <v>1875</v>
      </c>
      <c r="N436" s="37" t="s">
        <v>2332</v>
      </c>
      <c r="O436"/>
    </row>
    <row r="437" spans="1:15" s="35" customFormat="1" x14ac:dyDescent="0.25">
      <c r="A437" s="6" t="s">
        <v>571</v>
      </c>
      <c r="B437" s="2" t="s">
        <v>591</v>
      </c>
      <c r="C437" s="2">
        <v>2016</v>
      </c>
      <c r="D437" s="32" t="str">
        <f>HYPERLINK("http://cgn.websites.wur.nl/website/pictures/Special_collection_CGNSC002/Juveniles/TKI 465 (2016-05-04).JPG","Yes")</f>
        <v>Yes</v>
      </c>
      <c r="E437" s="34" t="str">
        <f>HYPERLINK("http://cgn.websites.wur.nl/website/pictures/Special_collection_CGNSC002/Adults/TKI 465 (2016-05-26).JPG","Yes")</f>
        <v>Yes</v>
      </c>
      <c r="F437" s="33" t="str">
        <f>HYPERLINK("http://cgn.websites.wur.nl/website/pictures/Special_collection_CGNSC002/Flowers/TKI 465 (2016-06-23).JPG","Yes")</f>
        <v>Yes</v>
      </c>
      <c r="G437" s="33" t="str">
        <f>HYPERLINK("http://cgn.websites.wur.nl/website/pictures/Special_collection_CGNSC002/Seeds/TKI 465 (2016-11-23).JPG","Yes")</f>
        <v>Yes</v>
      </c>
      <c r="H437" s="1"/>
      <c r="I437" s="2" t="s">
        <v>600</v>
      </c>
      <c r="J437" s="15">
        <v>124</v>
      </c>
      <c r="K437" s="2"/>
      <c r="L437" s="2" t="s">
        <v>1876</v>
      </c>
      <c r="M437" s="2" t="s">
        <v>1875</v>
      </c>
      <c r="N437" s="37" t="s">
        <v>2333</v>
      </c>
      <c r="O437"/>
    </row>
    <row r="438" spans="1:15" s="35" customFormat="1" x14ac:dyDescent="0.25">
      <c r="A438" s="6" t="s">
        <v>572</v>
      </c>
      <c r="B438" s="2" t="s">
        <v>591</v>
      </c>
      <c r="C438" s="2">
        <v>2016</v>
      </c>
      <c r="D438" s="32" t="str">
        <f>HYPERLINK("http://cgn.websites.wur.nl/website/pictures/Special_collection_CGNSC002/Juveniles/TKI 466 (2016-05-04).JPG","Yes")</f>
        <v>Yes</v>
      </c>
      <c r="E438" s="34" t="str">
        <f>HYPERLINK("http://cgn.websites.wur.nl/website/pictures/Special_collection_CGNSC002/Adults/TKI 466 (2016-05-26).JPG","Yes")</f>
        <v>Yes</v>
      </c>
      <c r="F438" s="33" t="str">
        <f>HYPERLINK("http://cgn.websites.wur.nl/website/pictures/Special_collection_CGNSC002/Flowers/TKI 466 (2016-06-27).JPG","Yes")</f>
        <v>Yes</v>
      </c>
      <c r="G438" s="33" t="str">
        <f>HYPERLINK("http://cgn.websites.wur.nl/website/pictures/Special_collection_CGNSC002/Seeds/TKI 466 (2016-11-23).JPG","Yes")</f>
        <v>Yes</v>
      </c>
      <c r="H438" s="1"/>
      <c r="I438" s="2" t="s">
        <v>600</v>
      </c>
      <c r="J438" s="15">
        <v>124</v>
      </c>
      <c r="K438" s="2"/>
      <c r="L438" s="2" t="s">
        <v>1876</v>
      </c>
      <c r="M438" s="2" t="s">
        <v>1875</v>
      </c>
      <c r="N438" s="37" t="s">
        <v>2334</v>
      </c>
      <c r="O438"/>
    </row>
    <row r="439" spans="1:15" s="35" customFormat="1" x14ac:dyDescent="0.25">
      <c r="A439" s="6" t="s">
        <v>573</v>
      </c>
      <c r="B439" s="2" t="s">
        <v>591</v>
      </c>
      <c r="C439" s="2">
        <v>2016</v>
      </c>
      <c r="D439" s="32" t="str">
        <f>HYPERLINK("http://cgn.websites.wur.nl/website/pictures/Special_collection_CGNSC002/Juveniles/TKI 467 (2016-05-04).JPG","Yes")</f>
        <v>Yes</v>
      </c>
      <c r="E439" s="34" t="str">
        <f>HYPERLINK("http://cgn.websites.wur.nl/website/pictures/Special_collection_CGNSC002/Adults/TKI 467 (2016-05-26).JPG","Yes")</f>
        <v>Yes</v>
      </c>
      <c r="F439" s="33"/>
      <c r="G439" s="33" t="str">
        <f>HYPERLINK("http://cgn.websites.wur.nl/website/pictures/Special_collection_CGNSC002/Seeds/TKI 467 (2016-11-23).JPG","Yes")</f>
        <v>Yes</v>
      </c>
      <c r="H439" s="1"/>
      <c r="I439" s="2" t="s">
        <v>600</v>
      </c>
      <c r="J439" s="15">
        <v>144</v>
      </c>
      <c r="K439" s="2"/>
      <c r="L439" s="2" t="s">
        <v>1876</v>
      </c>
      <c r="M439" s="2" t="s">
        <v>1875</v>
      </c>
      <c r="N439" s="37" t="s">
        <v>2335</v>
      </c>
      <c r="O439"/>
    </row>
    <row r="440" spans="1:15" s="35" customFormat="1" x14ac:dyDescent="0.25">
      <c r="A440" s="6" t="s">
        <v>574</v>
      </c>
      <c r="B440" s="2" t="s">
        <v>591</v>
      </c>
      <c r="C440" s="2">
        <v>2016</v>
      </c>
      <c r="D440" s="32" t="str">
        <f>HYPERLINK("http://cgn.websites.wur.nl/website/pictures/Special_collection_CGNSC002/Juveniles/TKI 468 (2016-05-03).JPG","Yes")</f>
        <v>Yes</v>
      </c>
      <c r="E440" s="34" t="str">
        <f>HYPERLINK("http://cgn.websites.wur.nl/website/pictures/Special_collection_CGNSC002/Adults/TKI 468 (2016-05-26).JPG","Yes")</f>
        <v>Yes</v>
      </c>
      <c r="F440" s="33" t="str">
        <f>HYPERLINK("http://cgn.websites.wur.nl/website/pictures/Special_collection_CGNSC002/Flowers/TKI 468 (2016-06-09).JPG","Yes")</f>
        <v>Yes</v>
      </c>
      <c r="G440" s="33" t="str">
        <f>HYPERLINK("http://cgn.websites.wur.nl/website/pictures/Special_collection_CGNSC002/Seeds/TKI 468 (2016-11-23).JPG","Yes")</f>
        <v>Yes</v>
      </c>
      <c r="H440" s="1"/>
      <c r="I440" s="2" t="s">
        <v>599</v>
      </c>
      <c r="J440" s="15">
        <v>117</v>
      </c>
      <c r="K440" s="2" t="s">
        <v>601</v>
      </c>
      <c r="L440" s="2" t="s">
        <v>1876</v>
      </c>
      <c r="M440" s="2" t="s">
        <v>1875</v>
      </c>
      <c r="N440" s="37" t="s">
        <v>2336</v>
      </c>
      <c r="O440"/>
    </row>
    <row r="441" spans="1:15" s="35" customFormat="1" x14ac:dyDescent="0.25">
      <c r="A441" s="6" t="s">
        <v>575</v>
      </c>
      <c r="B441" s="2" t="s">
        <v>591</v>
      </c>
      <c r="C441" s="2">
        <v>2016</v>
      </c>
      <c r="D441" s="32" t="str">
        <f>HYPERLINK("http://cgn.websites.wur.nl/website/pictures/Special_collection_CGNSC002/Juveniles/TKI 469 (2016-05-03).JPG","Yes")</f>
        <v>Yes</v>
      </c>
      <c r="E441" s="34" t="str">
        <f>HYPERLINK("http://cgn.websites.wur.nl/website/pictures/Special_collection_CGNSC002/Adults/TKI 469 (2016-05-26).JPG","Yes")</f>
        <v>Yes</v>
      </c>
      <c r="F441" s="33" t="str">
        <f>HYPERLINK("http://cgn.websites.wur.nl/website/pictures/Special_collection_CGNSC002/Flowers/TKI 469 (2016-06-09).JPG","Yes")</f>
        <v>Yes</v>
      </c>
      <c r="G441" s="33" t="str">
        <f>HYPERLINK("http://cgn.websites.wur.nl/website/pictures/Special_collection_CGNSC002/Seeds/TKI 469 (2016-11-23).JPG","Yes")</f>
        <v>Yes</v>
      </c>
      <c r="H441" s="1"/>
      <c r="I441" s="2" t="s">
        <v>599</v>
      </c>
      <c r="J441" s="15">
        <v>124</v>
      </c>
      <c r="K441" s="2" t="s">
        <v>601</v>
      </c>
      <c r="L441" s="2" t="s">
        <v>1876</v>
      </c>
      <c r="M441" s="2" t="s">
        <v>1875</v>
      </c>
      <c r="N441" s="37" t="s">
        <v>2337</v>
      </c>
      <c r="O441"/>
    </row>
    <row r="442" spans="1:15" s="35" customFormat="1" x14ac:dyDescent="0.25">
      <c r="A442" s="6" t="s">
        <v>576</v>
      </c>
      <c r="B442" s="2" t="s">
        <v>591</v>
      </c>
      <c r="C442" s="2">
        <v>2016</v>
      </c>
      <c r="D442" s="32" t="str">
        <f>HYPERLINK("http://cgn.websites.wur.nl/website/pictures/Special_collection_CGNSC002/Juveniles/TKI 470 (2016-05-04).JPG","Yes")</f>
        <v>Yes</v>
      </c>
      <c r="E442" s="34" t="str">
        <f>HYPERLINK("http://cgn.websites.wur.nl/website/pictures/Special_collection_CGNSC002/Adults/TKI 470 (2016-05-26).JPG","Yes")</f>
        <v>Yes</v>
      </c>
      <c r="F442" s="33" t="str">
        <f>HYPERLINK("http://cgn.websites.wur.nl/website/pictures/Special_collection_CGNSC002/Flowers/TKI 470 (2016-07-07).JPG","Yes")</f>
        <v>Yes</v>
      </c>
      <c r="G442" s="33" t="str">
        <f>HYPERLINK("http://cgn.websites.wur.nl/website/pictures/Special_collection_CGNSC002/Seeds/TKI 470 (2016-11-23).JPG","Yes")</f>
        <v>Yes</v>
      </c>
      <c r="H442" s="1"/>
      <c r="I442" s="2"/>
      <c r="J442" s="15">
        <v>147</v>
      </c>
      <c r="K442" s="2"/>
      <c r="L442" s="2" t="s">
        <v>1877</v>
      </c>
      <c r="M442" s="2"/>
      <c r="N442" s="37" t="s">
        <v>2338</v>
      </c>
    </row>
    <row r="443" spans="1:15" s="35" customFormat="1" x14ac:dyDescent="0.25">
      <c r="A443" s="6" t="s">
        <v>1872</v>
      </c>
      <c r="B443" s="2" t="s">
        <v>591</v>
      </c>
      <c r="C443" s="2">
        <v>2017</v>
      </c>
      <c r="D443" s="32" t="str">
        <f>HYPERLINK("http://cgn.websites.wur.nl/website/pictures/Special_collection_CGNSC002/Juveniles/TKI 472 (2016-05-03).JPG","Yes")</f>
        <v>Yes</v>
      </c>
      <c r="E443" s="32" t="str">
        <f>HYPERLINK("http://cgn.websites.wur.nl/website/pictures/Special_collection_CGNSC002/Adults/TKI 472 (2016-05-26).JPG","Yes")</f>
        <v>Yes</v>
      </c>
      <c r="F443" s="32" t="str">
        <f>HYPERLINK("http://cgn.websites.wur.nl/website/pictures/Special_collection_CGNSC002/Flowers/TKI 472 (2017-07-13).JPG","Yes")</f>
        <v>Yes</v>
      </c>
      <c r="G443" s="32" t="str">
        <f>HYPERLINK("http://cgn.websites.wur.nl/website/pictures/Special_collection_CGNSC002/Seeds/TKI 472 (2018-01-25).JPG","Yes")</f>
        <v>Yes</v>
      </c>
      <c r="H443" s="1"/>
      <c r="I443" s="2" t="s">
        <v>600</v>
      </c>
      <c r="J443" s="15">
        <v>509</v>
      </c>
      <c r="K443" s="2"/>
      <c r="L443" s="2" t="s">
        <v>1874</v>
      </c>
      <c r="M443" s="2" t="s">
        <v>1875</v>
      </c>
      <c r="N443" s="37" t="s">
        <v>2339</v>
      </c>
      <c r="O443"/>
    </row>
    <row r="444" spans="1:15" s="35" customFormat="1" x14ac:dyDescent="0.25">
      <c r="A444" s="6" t="s">
        <v>577</v>
      </c>
      <c r="B444" s="2" t="s">
        <v>591</v>
      </c>
      <c r="C444" s="2">
        <v>2016</v>
      </c>
      <c r="D444" s="32" t="str">
        <f>HYPERLINK("http://cgn.websites.wur.nl/website/pictures/Special_collection_CGNSC002/Juveniles/TKI 473 (2016-05-03).JPG","Yes")</f>
        <v>Yes</v>
      </c>
      <c r="E444" s="34" t="str">
        <f>HYPERLINK("http://cgn.websites.wur.nl/website/pictures/Special_collection_CGNSC002/Adults/TKI 473 (2016-05-26).JPG","Yes")</f>
        <v>Yes</v>
      </c>
      <c r="F444" s="33" t="str">
        <f>HYPERLINK("http://cgn.websites.wur.nl/website/pictures/Special_collection_CGNSC002/Flowers/TKI 473 (2016-07-21).JPG","Yes")</f>
        <v>Yes</v>
      </c>
      <c r="G444" s="33" t="str">
        <f>HYPERLINK("http://cgn.websites.wur.nl/website/pictures/Special_collection_CGNSC002/Seeds/TKI 473 (2016-11-23).JPG","Yes")</f>
        <v>Yes</v>
      </c>
      <c r="H444" s="1"/>
      <c r="I444" s="2" t="s">
        <v>600</v>
      </c>
      <c r="J444" s="15">
        <v>144</v>
      </c>
      <c r="K444" s="2"/>
      <c r="L444" s="2" t="s">
        <v>1876</v>
      </c>
      <c r="M444" s="2" t="s">
        <v>1875</v>
      </c>
      <c r="N444" s="37" t="s">
        <v>2340</v>
      </c>
      <c r="O444"/>
    </row>
    <row r="445" spans="1:15" s="35" customFormat="1" x14ac:dyDescent="0.25">
      <c r="A445" s="6" t="s">
        <v>578</v>
      </c>
      <c r="B445" s="2" t="s">
        <v>591</v>
      </c>
      <c r="C445" s="2">
        <v>2016</v>
      </c>
      <c r="D445" s="32" t="str">
        <f>HYPERLINK("http://cgn.websites.wur.nl/website/pictures/Special_collection_CGNSC002/Juveniles/TKI 474 (2016-05-03).JPG","Yes")</f>
        <v>Yes</v>
      </c>
      <c r="E445" s="34" t="str">
        <f>HYPERLINK("http://cgn.websites.wur.nl/website/pictures/Special_collection_CGNSC002/Adults/TKI 474 (2016-05-26).JPG","Yes")</f>
        <v>Yes</v>
      </c>
      <c r="F445" s="33" t="str">
        <f>HYPERLINK("http://cgn.websites.wur.nl/website/pictures/Special_collection_CGNSC002/Flowers/TKI 474 (2016-07-21).JPG","Yes")</f>
        <v>Yes</v>
      </c>
      <c r="G445" s="33" t="str">
        <f>HYPERLINK("http://cgn.websites.wur.nl/website/pictures/Special_collection_CGNSC002/Seeds/TKI 474 (2016-11-23).JPG","Yes")</f>
        <v>Yes</v>
      </c>
      <c r="H445" s="1"/>
      <c r="I445" s="2" t="s">
        <v>600</v>
      </c>
      <c r="J445" s="15">
        <v>137</v>
      </c>
      <c r="K445" s="2"/>
      <c r="L445" s="2" t="s">
        <v>1876</v>
      </c>
      <c r="M445" s="2" t="s">
        <v>1875</v>
      </c>
      <c r="N445" s="37" t="s">
        <v>2341</v>
      </c>
      <c r="O445"/>
    </row>
    <row r="446" spans="1:15" s="35" customFormat="1" x14ac:dyDescent="0.25">
      <c r="A446" s="6" t="s">
        <v>1873</v>
      </c>
      <c r="B446" s="2" t="s">
        <v>591</v>
      </c>
      <c r="C446" s="2">
        <v>2017</v>
      </c>
      <c r="D446" s="32" t="str">
        <f>HYPERLINK("http://cgn.websites.wur.nl/website/pictures/Special_collection_CGNSC002/Juveniles/TKI 475 (2016-05-03).JPG","Yes")</f>
        <v>Yes</v>
      </c>
      <c r="E446" s="32" t="str">
        <f>HYPERLINK("http://cgn.websites.wur.nl/website/pictures/Special_collection_CGNSC002/Adults/TKI 475 (2016-05-26).JPG","Yes")</f>
        <v>Yes</v>
      </c>
      <c r="F446" s="32" t="str">
        <f>HYPERLINK("http://cgn.websites.wur.nl/website/pictures/Special_collection_CGNSC002/Flowers/TKI 475 (2017-06-27).JPG","Yes")</f>
        <v>Yes</v>
      </c>
      <c r="G446" s="32" t="str">
        <f>HYPERLINK("http://cgn.websites.wur.nl/website/pictures/Special_collection_CGNSC002/Seeds/TKI 475 (2018-01-25).JPG","Yes")</f>
        <v>Yes</v>
      </c>
      <c r="H446" s="1"/>
      <c r="I446" s="2" t="s">
        <v>600</v>
      </c>
      <c r="J446" s="15">
        <v>500</v>
      </c>
      <c r="K446" s="2"/>
      <c r="L446" s="2"/>
      <c r="M446" s="2"/>
      <c r="N446" s="37" t="s">
        <v>2342</v>
      </c>
      <c r="O446"/>
    </row>
    <row r="447" spans="1:15" x14ac:dyDescent="0.25">
      <c r="A447" s="6" t="s">
        <v>579</v>
      </c>
      <c r="B447" s="2" t="s">
        <v>591</v>
      </c>
      <c r="C447" s="2">
        <v>2016</v>
      </c>
      <c r="D447" s="32" t="str">
        <f>HYPERLINK("http://cgn.websites.wur.nl/website/pictures/Special_collection_CGNSC002/Juveniles/TKI 477 (2016-05-03).JPG","Yes")</f>
        <v>Yes</v>
      </c>
      <c r="E447" s="34" t="str">
        <f>HYPERLINK("http://cgn.websites.wur.nl/website/pictures/Special_collection_CGNSC002/Adults/TKI 477 (2016-05-26).JPG","Yes")</f>
        <v>Yes</v>
      </c>
      <c r="F447" s="33" t="str">
        <f>HYPERLINK("http://cgn.websites.wur.nl/website/pictures/Special_collection_CGNSC002/Flowers/TKI 477 (2016-09-14).JPG","Yes")</f>
        <v>Yes</v>
      </c>
      <c r="G447" s="33" t="str">
        <f>HYPERLINK("http://cgn.websites.wur.nl/website/pictures/Special_collection_CGNSC002/Seeds/TKI 477 (2017-01-18).JPG","Yes")</f>
        <v>Yes</v>
      </c>
      <c r="H447" s="1"/>
      <c r="I447" s="2"/>
      <c r="J447" s="15">
        <v>216</v>
      </c>
      <c r="K447" s="2"/>
      <c r="L447" s="2" t="s">
        <v>1876</v>
      </c>
      <c r="M447" s="2" t="s">
        <v>1875</v>
      </c>
      <c r="N447" s="37" t="s">
        <v>2343</v>
      </c>
    </row>
    <row r="448" spans="1:15" x14ac:dyDescent="0.25">
      <c r="A448" s="6" t="s">
        <v>580</v>
      </c>
      <c r="B448" s="2" t="s">
        <v>591</v>
      </c>
      <c r="C448" s="2">
        <v>2016</v>
      </c>
      <c r="D448" s="32" t="str">
        <f>HYPERLINK("http://cgn.websites.wur.nl/website/pictures/Special_collection_CGNSC002/Juveniles/TKI 479 (2016-05-04).JPG","Yes")</f>
        <v>Yes</v>
      </c>
      <c r="E448" s="34" t="str">
        <f>HYPERLINK("http://cgn.websites.wur.nl/website/pictures/Special_collection_CGNSC002/Adults/TKI 479 (2016-05-26).JPG","Yes")</f>
        <v>Yes</v>
      </c>
      <c r="F448" s="33" t="str">
        <f>HYPERLINK("http://cgn.websites.wur.nl/website/pictures/Special_collection_CGNSC002/Flowers/TKI 479 (2016-08-18).JPG","Yes")</f>
        <v>Yes</v>
      </c>
      <c r="G448" s="33" t="str">
        <f>HYPERLINK("http://cgn.websites.wur.nl/website/pictures/Special_collection_CGNSC002/Seeds/TKI 479 (2016-11-23).JPG","Yes")</f>
        <v>Yes</v>
      </c>
      <c r="H448" s="1"/>
      <c r="I448" s="2"/>
      <c r="J448" s="15">
        <v>158</v>
      </c>
      <c r="K448" s="2"/>
      <c r="L448" s="2" t="s">
        <v>1877</v>
      </c>
      <c r="M448" s="2"/>
      <c r="N448" s="37" t="s">
        <v>2344</v>
      </c>
      <c r="O448" s="35"/>
    </row>
    <row r="449" spans="1:15" x14ac:dyDescent="0.25">
      <c r="A449" s="6" t="s">
        <v>581</v>
      </c>
      <c r="B449" s="2" t="s">
        <v>591</v>
      </c>
      <c r="C449" s="2">
        <v>2016</v>
      </c>
      <c r="D449" s="32" t="str">
        <f>HYPERLINK("http://cgn.websites.wur.nl/website/pictures/Special_collection_CGNSC002/Juveniles/TKI 481 (2016-05-04).JPG","Yes")</f>
        <v>Yes</v>
      </c>
      <c r="E449" s="34" t="str">
        <f>HYPERLINK("http://cgn.websites.wur.nl/website/pictures/Special_collection_CGNSC002/Adults/TKI 481 (2016-05-26).JPG","Yes")</f>
        <v>Yes</v>
      </c>
      <c r="F449" s="33" t="str">
        <f>HYPERLINK("http://cgn.websites.wur.nl/website/pictures/Special_collection_CGNSC002/Flowers/TKI 481 (2016-06-09).JPG","Yes")</f>
        <v>Yes</v>
      </c>
      <c r="G449" s="33" t="str">
        <f>HYPERLINK("http://cgn.websites.wur.nl/website/pictures/Special_collection_CGNSC002/Seeds/TKI 481 (2016-11-23).JPG","Yes")</f>
        <v>Yes</v>
      </c>
      <c r="H449" s="1"/>
      <c r="I449" s="2"/>
      <c r="J449" s="15">
        <v>117</v>
      </c>
      <c r="K449" s="2" t="s">
        <v>601</v>
      </c>
      <c r="L449" s="2" t="s">
        <v>1877</v>
      </c>
      <c r="M449" s="2"/>
      <c r="N449" s="37" t="s">
        <v>2345</v>
      </c>
      <c r="O449" s="35"/>
    </row>
    <row r="450" spans="1:15" x14ac:dyDescent="0.25">
      <c r="A450" s="6" t="s">
        <v>582</v>
      </c>
      <c r="B450" s="2" t="s">
        <v>591</v>
      </c>
      <c r="C450" s="2">
        <v>2016</v>
      </c>
      <c r="D450" s="32"/>
      <c r="E450" s="34" t="str">
        <f>HYPERLINK("http://cgn.websites.wur.nl/website/pictures/Special_collection_CGNSC002/Adults/TKI 495 (2016-05-26).JPG","Yes")</f>
        <v>Yes</v>
      </c>
      <c r="F450" s="33" t="str">
        <f>HYPERLINK("http://cgn.websites.wur.nl/website/pictures/Special_collection_CGNSC002/Flowers/TKI 495 (2016-07-25).JPG","Yes")</f>
        <v>Yes</v>
      </c>
      <c r="G450" s="33" t="str">
        <f>HYPERLINK("http://cgn.websites.wur.nl/website/pictures/Special_collection_CGNSC002/Seeds/TKI 495 (2016-11-23).JPG","Yes")</f>
        <v>Yes</v>
      </c>
      <c r="H450" s="1" t="s">
        <v>588</v>
      </c>
      <c r="I450" s="2"/>
      <c r="J450" s="15">
        <v>111</v>
      </c>
      <c r="K450" s="2"/>
      <c r="L450" s="2" t="s">
        <v>1877</v>
      </c>
      <c r="M450" s="2"/>
      <c r="N450" s="37" t="s">
        <v>2346</v>
      </c>
      <c r="O450" s="35"/>
    </row>
  </sheetData>
  <sortState ref="A2:O450">
    <sortCondition ref="A2:A450"/>
  </sortState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L450"/>
  <sheetViews>
    <sheetView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5" customHeight="1" x14ac:dyDescent="0.25"/>
  <cols>
    <col min="1" max="1" width="8" style="2" customWidth="1"/>
    <col min="2" max="2" width="10.42578125" style="2" customWidth="1"/>
    <col min="3" max="3" width="9.85546875" style="2" customWidth="1"/>
    <col min="4" max="4" width="13" style="1" customWidth="1"/>
    <col min="5" max="5" width="14.5703125" style="1" customWidth="1"/>
    <col min="6" max="6" width="8.28515625" style="1" customWidth="1"/>
    <col min="7" max="7" width="6.42578125" style="2" customWidth="1"/>
    <col min="8" max="8" width="18" style="1" customWidth="1"/>
    <col min="9" max="9" width="16.42578125" style="1" customWidth="1"/>
    <col min="10" max="10" width="12" style="1" customWidth="1"/>
    <col min="11" max="11" width="18.28515625" style="1" customWidth="1"/>
    <col min="12" max="12" width="15.85546875" style="2" customWidth="1"/>
    <col min="13" max="13" width="31.140625" style="1" customWidth="1"/>
    <col min="14" max="14" width="66.140625" style="2" customWidth="1"/>
    <col min="15" max="15" width="14.28515625" style="6" customWidth="1"/>
    <col min="16" max="16" width="12" style="1" customWidth="1"/>
    <col min="17" max="17" width="6.7109375" style="3" customWidth="1"/>
    <col min="18" max="18" width="8" style="1" customWidth="1"/>
    <col min="19" max="20" width="9" style="1" customWidth="1"/>
    <col min="21" max="21" width="11.28515625" style="1" customWidth="1"/>
    <col min="22" max="23" width="9.85546875" style="1" customWidth="1"/>
    <col min="24" max="24" width="8.85546875" style="1" customWidth="1"/>
    <col min="25" max="25" width="8.85546875" style="3" customWidth="1"/>
    <col min="26" max="26" width="9.85546875" style="1" customWidth="1"/>
    <col min="27" max="31" width="9.140625" style="1"/>
    <col min="32" max="32" width="11.140625" style="1" customWidth="1"/>
    <col min="33" max="33" width="11" style="1" customWidth="1"/>
    <col min="34" max="34" width="10.85546875" style="1" customWidth="1"/>
    <col min="35" max="36" width="9.140625" style="1"/>
    <col min="37" max="37" width="9.28515625" style="1" customWidth="1"/>
    <col min="38" max="38" width="9.140625" style="1"/>
    <col min="39" max="39" width="9.5703125" style="1" customWidth="1"/>
    <col min="40" max="45" width="9.140625" style="1"/>
    <col min="46" max="46" width="10.42578125" style="1" customWidth="1"/>
    <col min="47" max="47" width="10" style="1" customWidth="1"/>
    <col min="48" max="48" width="9.140625" style="1"/>
    <col min="49" max="49" width="11" style="1" customWidth="1"/>
    <col min="50" max="50" width="10.5703125" style="1" customWidth="1"/>
    <col min="51" max="51" width="9" style="1" customWidth="1"/>
    <col min="52" max="52" width="7.85546875" style="1" customWidth="1"/>
    <col min="53" max="53" width="7" style="1" customWidth="1"/>
    <col min="54" max="54" width="10.85546875" style="1" customWidth="1"/>
    <col min="55" max="55" width="9.140625" style="1"/>
    <col min="56" max="56" width="10.140625" style="1" customWidth="1"/>
    <col min="57" max="57" width="8" style="1" customWidth="1"/>
    <col min="58" max="58" width="8.140625" style="1" customWidth="1"/>
    <col min="59" max="59" width="11.5703125" style="1" customWidth="1"/>
    <col min="60" max="60" width="13.140625" style="1" customWidth="1"/>
    <col min="61" max="61" width="13.85546875" style="1" customWidth="1"/>
    <col min="62" max="62" width="9.5703125" style="1" customWidth="1"/>
    <col min="63" max="63" width="10.5703125" style="1" customWidth="1"/>
    <col min="64" max="64" width="13.5703125" style="1" customWidth="1"/>
    <col min="65" max="65" width="11.28515625" style="1" customWidth="1"/>
    <col min="66" max="66" width="8.5703125" style="1" customWidth="1"/>
    <col min="67" max="67" width="10" style="1" customWidth="1"/>
    <col min="68" max="68" width="12.7109375" style="1" customWidth="1"/>
    <col min="69" max="87" width="7.7109375" style="1" customWidth="1"/>
    <col min="88" max="94" width="9.140625" style="1"/>
    <col min="95" max="97" width="9.140625" style="3" customWidth="1"/>
    <col min="98" max="109" width="9.140625" style="1"/>
    <col min="110" max="110" width="10" style="1" customWidth="1"/>
    <col min="111" max="111" width="11.85546875" style="1" customWidth="1"/>
    <col min="112" max="112" width="9.5703125" style="1" customWidth="1"/>
    <col min="113" max="115" width="9.85546875" style="1" customWidth="1"/>
    <col min="116" max="117" width="9.140625" style="1"/>
    <col min="118" max="118" width="9.85546875" style="1" customWidth="1"/>
    <col min="119" max="119" width="9.140625" style="1"/>
    <col min="120" max="120" width="13" style="1" customWidth="1"/>
    <col min="121" max="121" width="15" style="3" customWidth="1"/>
    <col min="122" max="122" width="14.140625" style="1" customWidth="1"/>
    <col min="123" max="16384" width="9.140625" style="1"/>
  </cols>
  <sheetData>
    <row r="1" spans="1:142" ht="45" customHeight="1" x14ac:dyDescent="0.25">
      <c r="A1" s="20" t="s">
        <v>140</v>
      </c>
      <c r="B1" s="18" t="s">
        <v>673</v>
      </c>
      <c r="C1" s="18" t="s">
        <v>674</v>
      </c>
      <c r="D1" s="17" t="s">
        <v>675</v>
      </c>
      <c r="E1" s="18" t="s">
        <v>676</v>
      </c>
      <c r="F1" s="17" t="s">
        <v>677</v>
      </c>
      <c r="G1" s="17" t="s">
        <v>678</v>
      </c>
      <c r="H1" s="17" t="s">
        <v>583</v>
      </c>
      <c r="I1" s="17" t="s">
        <v>679</v>
      </c>
      <c r="J1" s="17" t="s">
        <v>680</v>
      </c>
      <c r="K1" s="17" t="s">
        <v>681</v>
      </c>
      <c r="L1" s="17" t="s">
        <v>682</v>
      </c>
      <c r="M1" s="17" t="s">
        <v>683</v>
      </c>
      <c r="N1" s="39" t="s">
        <v>684</v>
      </c>
      <c r="O1" s="20" t="s">
        <v>1897</v>
      </c>
      <c r="P1" s="40" t="s">
        <v>685</v>
      </c>
      <c r="Q1" s="22" t="s">
        <v>584</v>
      </c>
      <c r="R1" s="23" t="s">
        <v>686</v>
      </c>
      <c r="S1" s="23" t="s">
        <v>687</v>
      </c>
      <c r="T1" s="23" t="s">
        <v>688</v>
      </c>
      <c r="U1" s="23" t="s">
        <v>689</v>
      </c>
      <c r="V1" s="23" t="s">
        <v>690</v>
      </c>
      <c r="W1" s="23" t="s">
        <v>691</v>
      </c>
      <c r="X1" s="23" t="s">
        <v>692</v>
      </c>
      <c r="Y1" s="23" t="s">
        <v>608</v>
      </c>
      <c r="Z1" s="23" t="s">
        <v>609</v>
      </c>
      <c r="AA1" s="23" t="s">
        <v>693</v>
      </c>
      <c r="AB1" s="23" t="s">
        <v>694</v>
      </c>
      <c r="AC1" s="23" t="s">
        <v>695</v>
      </c>
      <c r="AD1" s="23" t="s">
        <v>696</v>
      </c>
      <c r="AE1" s="23" t="s">
        <v>697</v>
      </c>
      <c r="AF1" s="23" t="s">
        <v>698</v>
      </c>
      <c r="AG1" s="23" t="s">
        <v>610</v>
      </c>
      <c r="AH1" s="23" t="s">
        <v>699</v>
      </c>
      <c r="AI1" s="23" t="s">
        <v>700</v>
      </c>
      <c r="AJ1" s="23" t="s">
        <v>701</v>
      </c>
      <c r="AK1" s="23" t="s">
        <v>702</v>
      </c>
      <c r="AL1" s="23" t="s">
        <v>703</v>
      </c>
      <c r="AM1" s="23" t="s">
        <v>704</v>
      </c>
      <c r="AN1" s="23" t="s">
        <v>705</v>
      </c>
      <c r="AO1" s="23" t="s">
        <v>611</v>
      </c>
      <c r="AP1" s="23" t="s">
        <v>706</v>
      </c>
      <c r="AQ1" s="23" t="s">
        <v>707</v>
      </c>
      <c r="AR1" s="23" t="s">
        <v>708</v>
      </c>
      <c r="AS1" s="23" t="s">
        <v>709</v>
      </c>
      <c r="AT1" s="23" t="s">
        <v>710</v>
      </c>
      <c r="AU1" s="23" t="s">
        <v>711</v>
      </c>
      <c r="AV1" s="23" t="s">
        <v>712</v>
      </c>
      <c r="AW1" s="23" t="s">
        <v>713</v>
      </c>
      <c r="AX1" s="23" t="s">
        <v>714</v>
      </c>
      <c r="AY1" s="23" t="s">
        <v>715</v>
      </c>
      <c r="AZ1" s="23" t="s">
        <v>716</v>
      </c>
      <c r="BA1" s="23" t="s">
        <v>717</v>
      </c>
      <c r="BB1" s="23" t="s">
        <v>718</v>
      </c>
      <c r="BC1" s="23" t="s">
        <v>586</v>
      </c>
      <c r="BD1" s="23" t="s">
        <v>719</v>
      </c>
      <c r="BE1" s="23" t="s">
        <v>720</v>
      </c>
      <c r="BF1" s="23" t="s">
        <v>721</v>
      </c>
      <c r="BG1" s="24" t="s">
        <v>722</v>
      </c>
      <c r="BH1" s="23" t="s">
        <v>723</v>
      </c>
      <c r="BI1" s="23" t="s">
        <v>724</v>
      </c>
      <c r="BJ1" s="24" t="s">
        <v>725</v>
      </c>
      <c r="BK1" s="24" t="s">
        <v>726</v>
      </c>
      <c r="BL1" s="23" t="s">
        <v>727</v>
      </c>
      <c r="BM1" s="23" t="s">
        <v>728</v>
      </c>
      <c r="BN1" s="23" t="s">
        <v>729</v>
      </c>
      <c r="BO1" s="24" t="s">
        <v>730</v>
      </c>
      <c r="BP1" s="24" t="s">
        <v>731</v>
      </c>
      <c r="BQ1" s="24" t="s">
        <v>732</v>
      </c>
      <c r="BR1" s="24" t="s">
        <v>733</v>
      </c>
      <c r="BS1" s="24" t="s">
        <v>734</v>
      </c>
      <c r="BT1" s="24" t="s">
        <v>735</v>
      </c>
      <c r="BU1" s="24" t="s">
        <v>736</v>
      </c>
      <c r="BV1" s="24" t="s">
        <v>737</v>
      </c>
      <c r="BW1" s="24" t="s">
        <v>738</v>
      </c>
      <c r="BX1" s="24" t="s">
        <v>739</v>
      </c>
      <c r="BY1" s="24" t="s">
        <v>740</v>
      </c>
      <c r="BZ1" s="24" t="s">
        <v>741</v>
      </c>
      <c r="CA1" s="24" t="s">
        <v>742</v>
      </c>
      <c r="CB1" s="24" t="s">
        <v>743</v>
      </c>
      <c r="CC1" s="24" t="s">
        <v>744</v>
      </c>
      <c r="CD1" s="24" t="s">
        <v>745</v>
      </c>
      <c r="CE1" s="24" t="s">
        <v>746</v>
      </c>
      <c r="CF1" s="24" t="s">
        <v>747</v>
      </c>
      <c r="CG1" s="24" t="s">
        <v>748</v>
      </c>
      <c r="CH1" s="24" t="s">
        <v>749</v>
      </c>
      <c r="CI1" s="24" t="s">
        <v>750</v>
      </c>
      <c r="CJ1" s="24" t="s">
        <v>751</v>
      </c>
      <c r="CK1" s="24" t="s">
        <v>752</v>
      </c>
      <c r="CL1" s="24" t="s">
        <v>753</v>
      </c>
      <c r="CM1" s="24" t="s">
        <v>754</v>
      </c>
      <c r="CN1" s="24" t="s">
        <v>755</v>
      </c>
      <c r="CO1" s="24" t="s">
        <v>756</v>
      </c>
      <c r="CP1" s="24" t="s">
        <v>757</v>
      </c>
      <c r="CQ1" s="24" t="s">
        <v>758</v>
      </c>
      <c r="CR1" s="24" t="s">
        <v>759</v>
      </c>
      <c r="CS1" s="24" t="s">
        <v>760</v>
      </c>
      <c r="CT1" s="24" t="s">
        <v>761</v>
      </c>
      <c r="CU1" s="24" t="s">
        <v>762</v>
      </c>
      <c r="CV1" s="24" t="s">
        <v>763</v>
      </c>
      <c r="CW1" s="24" t="s">
        <v>764</v>
      </c>
      <c r="CX1" s="24" t="s">
        <v>765</v>
      </c>
      <c r="CY1" s="24" t="s">
        <v>766</v>
      </c>
      <c r="CZ1" s="24" t="s">
        <v>767</v>
      </c>
      <c r="DA1" s="24" t="s">
        <v>768</v>
      </c>
      <c r="DB1" s="24" t="s">
        <v>769</v>
      </c>
      <c r="DC1" s="24" t="s">
        <v>770</v>
      </c>
      <c r="DD1" s="24" t="s">
        <v>771</v>
      </c>
      <c r="DE1" s="24" t="s">
        <v>772</v>
      </c>
      <c r="DF1" s="24" t="s">
        <v>773</v>
      </c>
      <c r="DG1" s="24" t="s">
        <v>774</v>
      </c>
      <c r="DH1" s="24" t="s">
        <v>775</v>
      </c>
      <c r="DI1" s="24" t="s">
        <v>776</v>
      </c>
      <c r="DJ1" s="24" t="s">
        <v>777</v>
      </c>
      <c r="DK1" s="24" t="s">
        <v>778</v>
      </c>
      <c r="DL1" s="24" t="s">
        <v>779</v>
      </c>
      <c r="DM1" s="24" t="s">
        <v>780</v>
      </c>
      <c r="DN1" s="24" t="s">
        <v>781</v>
      </c>
      <c r="DO1" s="24" t="s">
        <v>782</v>
      </c>
      <c r="DP1" s="24" t="s">
        <v>783</v>
      </c>
      <c r="DQ1" s="24" t="s">
        <v>1895</v>
      </c>
      <c r="DR1" s="24" t="s">
        <v>1896</v>
      </c>
    </row>
    <row r="2" spans="1:142" ht="15" customHeight="1" x14ac:dyDescent="0.25">
      <c r="A2" s="6" t="s">
        <v>141</v>
      </c>
      <c r="B2" s="2" t="s">
        <v>784</v>
      </c>
      <c r="C2" s="2" t="s">
        <v>785</v>
      </c>
      <c r="D2" s="25" t="s">
        <v>786</v>
      </c>
      <c r="E2" s="4" t="s">
        <v>787</v>
      </c>
      <c r="F2" s="4" t="s">
        <v>788</v>
      </c>
      <c r="G2" s="26">
        <v>1971</v>
      </c>
      <c r="H2" s="4" t="s">
        <v>3</v>
      </c>
      <c r="I2" s="5"/>
      <c r="J2" s="4" t="s">
        <v>789</v>
      </c>
      <c r="K2" s="4" t="s">
        <v>3</v>
      </c>
      <c r="L2" s="2" t="s">
        <v>790</v>
      </c>
      <c r="M2" s="5"/>
      <c r="N2" s="38" t="s">
        <v>791</v>
      </c>
      <c r="O2" s="28" t="s">
        <v>2347</v>
      </c>
      <c r="P2" s="3">
        <v>7</v>
      </c>
      <c r="Q2" s="27">
        <v>1</v>
      </c>
      <c r="R2" s="19">
        <v>6</v>
      </c>
      <c r="S2" s="3">
        <v>2</v>
      </c>
      <c r="T2" s="3">
        <v>2</v>
      </c>
      <c r="U2" s="3">
        <v>9</v>
      </c>
      <c r="V2" s="3">
        <v>4</v>
      </c>
      <c r="W2" s="3"/>
      <c r="X2" s="3"/>
      <c r="Y2" s="3">
        <v>4</v>
      </c>
      <c r="Z2" s="3">
        <v>3</v>
      </c>
      <c r="AA2" s="3">
        <v>1</v>
      </c>
      <c r="AB2" s="3">
        <v>1</v>
      </c>
      <c r="AC2" s="3"/>
      <c r="AD2" s="3">
        <v>2</v>
      </c>
      <c r="AE2" s="3">
        <v>4</v>
      </c>
      <c r="AF2" s="3">
        <v>2</v>
      </c>
      <c r="AG2" s="3">
        <v>1</v>
      </c>
      <c r="AH2" s="3">
        <v>1</v>
      </c>
      <c r="AI2" s="3"/>
      <c r="AJ2" s="3"/>
      <c r="AK2" s="3"/>
      <c r="AL2" s="3"/>
      <c r="AM2" s="3">
        <v>1</v>
      </c>
      <c r="AN2" s="3">
        <v>2</v>
      </c>
      <c r="AO2" s="3">
        <v>7</v>
      </c>
      <c r="AP2" s="3">
        <v>3</v>
      </c>
      <c r="AQ2" s="3">
        <v>5</v>
      </c>
      <c r="AR2" s="3">
        <v>3</v>
      </c>
      <c r="AS2" s="3">
        <v>5</v>
      </c>
      <c r="AT2" s="3"/>
      <c r="AU2" s="3">
        <v>109</v>
      </c>
      <c r="AV2" s="3"/>
      <c r="AW2" s="3"/>
      <c r="AX2" s="3"/>
      <c r="AY2" s="3"/>
      <c r="AZ2" s="3"/>
      <c r="BA2" s="3"/>
      <c r="BB2" s="3">
        <v>9</v>
      </c>
      <c r="BC2" s="3"/>
      <c r="BD2" s="3"/>
      <c r="BE2" s="3"/>
      <c r="BF2" s="3">
        <v>1.77</v>
      </c>
      <c r="BG2" s="3">
        <v>9</v>
      </c>
      <c r="BH2" s="3"/>
      <c r="BI2" s="3">
        <v>1384</v>
      </c>
      <c r="BJ2" s="3">
        <v>1761</v>
      </c>
      <c r="BK2" s="3">
        <v>1</v>
      </c>
      <c r="BL2" s="3"/>
      <c r="BM2" s="3"/>
      <c r="BN2" s="3">
        <v>1</v>
      </c>
      <c r="BO2" s="3"/>
      <c r="BP2" s="3">
        <v>0</v>
      </c>
      <c r="BQ2" s="3"/>
      <c r="BR2" s="3">
        <v>1</v>
      </c>
      <c r="BS2" s="3">
        <v>1</v>
      </c>
      <c r="BT2" s="3">
        <v>5</v>
      </c>
      <c r="BU2" s="3"/>
      <c r="BV2" s="3">
        <v>1</v>
      </c>
      <c r="BW2" s="3">
        <v>9</v>
      </c>
      <c r="BX2" s="3">
        <v>9</v>
      </c>
      <c r="BY2" s="3">
        <v>9</v>
      </c>
      <c r="BZ2" s="3">
        <v>9</v>
      </c>
      <c r="CA2" s="3"/>
      <c r="CB2" s="3">
        <v>1</v>
      </c>
      <c r="CC2" s="3">
        <v>1</v>
      </c>
      <c r="CD2" s="3">
        <v>8</v>
      </c>
      <c r="CE2" s="19">
        <v>1</v>
      </c>
      <c r="CF2" s="3">
        <v>8</v>
      </c>
      <c r="CG2" s="19">
        <v>1</v>
      </c>
      <c r="CH2" s="3">
        <v>9</v>
      </c>
      <c r="CI2" s="3">
        <v>9</v>
      </c>
      <c r="CJ2" s="3">
        <v>9</v>
      </c>
      <c r="CK2" s="3">
        <v>9</v>
      </c>
      <c r="CL2" s="3">
        <v>7</v>
      </c>
      <c r="CM2" s="3"/>
      <c r="CN2" s="3"/>
      <c r="CO2" s="3"/>
      <c r="CP2" s="3"/>
      <c r="CT2" s="3">
        <v>5</v>
      </c>
      <c r="CU2" s="3"/>
      <c r="CV2" s="3"/>
      <c r="CW2" s="3">
        <v>1</v>
      </c>
      <c r="CX2" s="3">
        <v>9</v>
      </c>
      <c r="CY2" s="3"/>
      <c r="CZ2" s="3">
        <v>7</v>
      </c>
      <c r="DA2" s="3">
        <v>9</v>
      </c>
      <c r="DB2" s="3">
        <v>1</v>
      </c>
      <c r="DC2" s="3">
        <v>7</v>
      </c>
      <c r="DD2" s="3">
        <v>1</v>
      </c>
      <c r="DE2" s="3">
        <v>1</v>
      </c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R2" s="3"/>
      <c r="DS2" s="3"/>
      <c r="DT2" s="3"/>
    </row>
    <row r="3" spans="1:142" ht="15" customHeight="1" x14ac:dyDescent="0.25">
      <c r="A3" s="6" t="s">
        <v>142</v>
      </c>
      <c r="B3" s="2" t="s">
        <v>784</v>
      </c>
      <c r="C3" s="2" t="s">
        <v>792</v>
      </c>
      <c r="D3" s="25" t="s">
        <v>786</v>
      </c>
      <c r="E3" s="4" t="s">
        <v>787</v>
      </c>
      <c r="F3" s="4" t="s">
        <v>793</v>
      </c>
      <c r="G3" s="26">
        <v>1950</v>
      </c>
      <c r="H3" s="4" t="s">
        <v>5</v>
      </c>
      <c r="I3" s="4" t="s">
        <v>794</v>
      </c>
      <c r="J3" s="4" t="s">
        <v>789</v>
      </c>
      <c r="K3" s="4" t="s">
        <v>5</v>
      </c>
      <c r="M3" s="5"/>
      <c r="N3" s="38" t="s">
        <v>795</v>
      </c>
      <c r="O3" s="28" t="s">
        <v>2348</v>
      </c>
      <c r="P3" s="3">
        <v>7</v>
      </c>
      <c r="Q3" s="27">
        <v>2</v>
      </c>
      <c r="R3" s="3"/>
      <c r="S3" s="3">
        <v>2</v>
      </c>
      <c r="T3" s="3"/>
      <c r="U3" s="3">
        <v>1</v>
      </c>
      <c r="V3" s="3">
        <v>5</v>
      </c>
      <c r="W3" s="3"/>
      <c r="X3" s="3"/>
      <c r="Y3" s="3">
        <v>4</v>
      </c>
      <c r="Z3" s="3">
        <v>2</v>
      </c>
      <c r="AA3" s="3">
        <v>1</v>
      </c>
      <c r="AB3" s="3">
        <v>1</v>
      </c>
      <c r="AC3" s="3"/>
      <c r="AD3" s="3">
        <v>2</v>
      </c>
      <c r="AE3" s="3">
        <v>4</v>
      </c>
      <c r="AF3" s="3">
        <v>1</v>
      </c>
      <c r="AG3" s="3"/>
      <c r="AH3" s="3"/>
      <c r="AI3" s="3"/>
      <c r="AJ3" s="3"/>
      <c r="AK3" s="3"/>
      <c r="AL3" s="3"/>
      <c r="AM3" s="3">
        <v>1</v>
      </c>
      <c r="AN3" s="3">
        <v>5</v>
      </c>
      <c r="AO3" s="3">
        <v>6</v>
      </c>
      <c r="AP3" s="3">
        <v>3</v>
      </c>
      <c r="AQ3" s="3">
        <v>5</v>
      </c>
      <c r="AR3" s="3">
        <v>3</v>
      </c>
      <c r="AS3" s="3">
        <v>7</v>
      </c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>
        <v>936</v>
      </c>
      <c r="BJ3" s="3">
        <v>1379</v>
      </c>
      <c r="BK3" s="3"/>
      <c r="BL3" s="3"/>
      <c r="BM3" s="3"/>
      <c r="BN3" s="3"/>
      <c r="BO3" s="3"/>
      <c r="BP3" s="3"/>
      <c r="BQ3" s="3">
        <v>9</v>
      </c>
      <c r="BR3" s="3"/>
      <c r="BS3" s="3">
        <v>9</v>
      </c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R3" s="3"/>
      <c r="DS3" s="3"/>
      <c r="DT3" s="3"/>
    </row>
    <row r="4" spans="1:142" ht="15" customHeight="1" x14ac:dyDescent="0.25">
      <c r="A4" s="6" t="s">
        <v>143</v>
      </c>
      <c r="B4" s="2" t="s">
        <v>784</v>
      </c>
      <c r="C4" s="2" t="s">
        <v>796</v>
      </c>
      <c r="D4" s="25" t="s">
        <v>786</v>
      </c>
      <c r="E4" s="4" t="s">
        <v>787</v>
      </c>
      <c r="F4" s="4" t="s">
        <v>793</v>
      </c>
      <c r="G4" s="26">
        <v>1847</v>
      </c>
      <c r="H4" s="4" t="s">
        <v>6</v>
      </c>
      <c r="I4" s="5"/>
      <c r="J4" s="4" t="s">
        <v>789</v>
      </c>
      <c r="K4" s="4" t="s">
        <v>6</v>
      </c>
      <c r="M4" s="5"/>
      <c r="N4" s="2" t="s">
        <v>797</v>
      </c>
      <c r="O4" s="28" t="s">
        <v>2349</v>
      </c>
      <c r="P4" s="3">
        <v>7</v>
      </c>
      <c r="Q4" s="27">
        <v>1</v>
      </c>
      <c r="R4" s="19">
        <v>6</v>
      </c>
      <c r="S4" s="3">
        <v>2</v>
      </c>
      <c r="T4" s="3">
        <v>2</v>
      </c>
      <c r="U4" s="3">
        <v>9</v>
      </c>
      <c r="V4" s="3">
        <v>5</v>
      </c>
      <c r="W4" s="3"/>
      <c r="X4" s="3"/>
      <c r="Y4" s="3">
        <v>6</v>
      </c>
      <c r="Z4" s="3">
        <v>2</v>
      </c>
      <c r="AA4" s="3">
        <v>1</v>
      </c>
      <c r="AB4" s="3">
        <v>1</v>
      </c>
      <c r="AC4" s="3"/>
      <c r="AD4" s="3">
        <v>5</v>
      </c>
      <c r="AE4" s="3">
        <v>4</v>
      </c>
      <c r="AF4" s="3">
        <v>5</v>
      </c>
      <c r="AG4" s="3">
        <v>2</v>
      </c>
      <c r="AH4" s="3">
        <v>1</v>
      </c>
      <c r="AI4" s="3"/>
      <c r="AJ4" s="3"/>
      <c r="AK4" s="3"/>
      <c r="AL4" s="3"/>
      <c r="AM4" s="3">
        <v>1</v>
      </c>
      <c r="AN4" s="3">
        <v>5</v>
      </c>
      <c r="AO4" s="3">
        <v>5</v>
      </c>
      <c r="AP4" s="3">
        <v>3</v>
      </c>
      <c r="AQ4" s="3">
        <v>6</v>
      </c>
      <c r="AR4" s="3">
        <v>3</v>
      </c>
      <c r="AS4" s="3">
        <v>6</v>
      </c>
      <c r="AT4" s="3"/>
      <c r="AU4" s="3"/>
      <c r="AV4" s="3"/>
      <c r="AW4" s="3"/>
      <c r="AX4" s="3"/>
      <c r="AY4" s="3"/>
      <c r="AZ4" s="3"/>
      <c r="BA4" s="3"/>
      <c r="BB4" s="3">
        <v>9</v>
      </c>
      <c r="BC4" s="3">
        <v>111</v>
      </c>
      <c r="BD4" s="3"/>
      <c r="BE4" s="3"/>
      <c r="BF4" s="3"/>
      <c r="BG4" s="3"/>
      <c r="BH4" s="3"/>
      <c r="BI4" s="3"/>
      <c r="BJ4" s="3"/>
      <c r="BK4" s="3"/>
      <c r="BL4" s="3"/>
      <c r="BM4" s="3"/>
      <c r="BN4" s="3">
        <v>4</v>
      </c>
      <c r="BO4" s="3"/>
      <c r="BP4" s="3"/>
      <c r="BQ4" s="3">
        <v>9</v>
      </c>
      <c r="BR4" s="3">
        <v>9</v>
      </c>
      <c r="BS4" s="3">
        <v>9</v>
      </c>
      <c r="BT4" s="19">
        <v>9</v>
      </c>
      <c r="BU4" s="3">
        <v>1</v>
      </c>
      <c r="BV4" s="19">
        <v>9</v>
      </c>
      <c r="BW4" s="19">
        <v>9</v>
      </c>
      <c r="BX4" s="19">
        <v>9</v>
      </c>
      <c r="BY4" s="19">
        <v>9</v>
      </c>
      <c r="BZ4" s="19">
        <v>9</v>
      </c>
      <c r="CA4" s="3"/>
      <c r="CB4" s="19">
        <v>9</v>
      </c>
      <c r="CC4" s="19">
        <v>1</v>
      </c>
      <c r="CD4" s="3">
        <v>1</v>
      </c>
      <c r="CE4" s="19">
        <v>1</v>
      </c>
      <c r="CF4" s="3">
        <v>1</v>
      </c>
      <c r="CG4" s="19">
        <v>9</v>
      </c>
      <c r="CH4" s="3"/>
      <c r="CI4" s="3">
        <v>1</v>
      </c>
      <c r="CJ4" s="3">
        <v>9</v>
      </c>
      <c r="CK4" s="3">
        <v>1</v>
      </c>
      <c r="CL4" s="3">
        <v>1</v>
      </c>
      <c r="CM4" s="3">
        <v>1</v>
      </c>
      <c r="CN4" s="3"/>
      <c r="CO4" s="3">
        <v>9</v>
      </c>
      <c r="CP4" s="3"/>
      <c r="CT4" s="3">
        <v>9</v>
      </c>
      <c r="CU4" s="3">
        <v>1</v>
      </c>
      <c r="CV4" s="3">
        <v>9</v>
      </c>
      <c r="CW4" s="3">
        <v>9</v>
      </c>
      <c r="CX4" s="3">
        <v>9</v>
      </c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R4" s="3"/>
      <c r="DU4" s="3"/>
      <c r="DV4" s="3"/>
      <c r="DW4" s="3"/>
      <c r="EA4" s="3"/>
      <c r="EB4" s="3"/>
      <c r="EC4" s="3"/>
      <c r="ED4" s="3"/>
    </row>
    <row r="5" spans="1:142" ht="15" customHeight="1" x14ac:dyDescent="0.25">
      <c r="A5" s="6" t="s">
        <v>144</v>
      </c>
      <c r="B5" s="2" t="s">
        <v>784</v>
      </c>
      <c r="C5" s="2" t="s">
        <v>798</v>
      </c>
      <c r="D5" s="25" t="s">
        <v>786</v>
      </c>
      <c r="E5" s="4" t="s">
        <v>787</v>
      </c>
      <c r="F5" s="4" t="s">
        <v>793</v>
      </c>
      <c r="G5" s="26">
        <v>1926</v>
      </c>
      <c r="H5" s="4" t="s">
        <v>9</v>
      </c>
      <c r="I5" s="5"/>
      <c r="J5" s="4" t="s">
        <v>789</v>
      </c>
      <c r="K5" s="4" t="s">
        <v>9</v>
      </c>
      <c r="M5" s="5"/>
      <c r="N5" s="2" t="s">
        <v>799</v>
      </c>
      <c r="O5" s="28" t="s">
        <v>2350</v>
      </c>
      <c r="P5" s="3">
        <v>7</v>
      </c>
      <c r="Q5" s="27">
        <v>1</v>
      </c>
      <c r="R5" s="3"/>
      <c r="S5" s="3">
        <v>2</v>
      </c>
      <c r="T5" s="3">
        <v>2</v>
      </c>
      <c r="U5" s="3">
        <v>9</v>
      </c>
      <c r="V5" s="3">
        <v>5</v>
      </c>
      <c r="W5" s="3"/>
      <c r="X5" s="3"/>
      <c r="Y5" s="3">
        <v>3</v>
      </c>
      <c r="Z5" s="3">
        <v>2</v>
      </c>
      <c r="AA5" s="3">
        <v>1</v>
      </c>
      <c r="AB5" s="3">
        <v>1</v>
      </c>
      <c r="AC5" s="3"/>
      <c r="AD5" s="3">
        <v>3</v>
      </c>
      <c r="AE5" s="3">
        <v>4</v>
      </c>
      <c r="AF5" s="3">
        <v>2</v>
      </c>
      <c r="AG5" s="3">
        <v>1</v>
      </c>
      <c r="AH5" s="3">
        <v>1</v>
      </c>
      <c r="AI5" s="3"/>
      <c r="AJ5" s="3"/>
      <c r="AK5" s="3"/>
      <c r="AL5" s="3"/>
      <c r="AM5" s="3"/>
      <c r="AN5" s="3">
        <v>2</v>
      </c>
      <c r="AO5" s="3">
        <v>6</v>
      </c>
      <c r="AP5" s="3">
        <v>3</v>
      </c>
      <c r="AQ5" s="3">
        <v>6</v>
      </c>
      <c r="AR5" s="3">
        <v>3</v>
      </c>
      <c r="AS5" s="3">
        <v>5</v>
      </c>
      <c r="AT5" s="3"/>
      <c r="AU5" s="3"/>
      <c r="AV5" s="3"/>
      <c r="AW5" s="3"/>
      <c r="AX5" s="3">
        <v>5</v>
      </c>
      <c r="AY5" s="3"/>
      <c r="AZ5" s="3"/>
      <c r="BA5" s="3">
        <v>1</v>
      </c>
      <c r="BB5" s="3">
        <v>9</v>
      </c>
      <c r="BC5" s="3"/>
      <c r="BD5" s="3"/>
      <c r="BE5" s="3"/>
      <c r="BF5" s="3"/>
      <c r="BG5" s="3">
        <v>9</v>
      </c>
      <c r="BH5" s="3"/>
      <c r="BI5" s="3">
        <v>701</v>
      </c>
      <c r="BJ5" s="3">
        <v>1425</v>
      </c>
      <c r="BK5" s="3">
        <v>5</v>
      </c>
      <c r="BL5" s="3"/>
      <c r="BM5" s="3"/>
      <c r="BN5" s="3"/>
      <c r="BO5" s="3"/>
      <c r="BP5" s="3"/>
      <c r="BQ5" s="3">
        <v>9</v>
      </c>
      <c r="BR5" s="3">
        <v>9</v>
      </c>
      <c r="BS5" s="3">
        <v>9</v>
      </c>
      <c r="BT5" s="19">
        <v>9</v>
      </c>
      <c r="BU5" s="3">
        <v>9</v>
      </c>
      <c r="BV5" s="19">
        <v>9</v>
      </c>
      <c r="BW5" s="19">
        <v>9</v>
      </c>
      <c r="BX5" s="19">
        <v>5</v>
      </c>
      <c r="BY5" s="19">
        <v>9</v>
      </c>
      <c r="BZ5" s="19">
        <v>9</v>
      </c>
      <c r="CA5" s="19">
        <v>8</v>
      </c>
      <c r="CB5" s="19">
        <v>9</v>
      </c>
      <c r="CC5" s="19">
        <v>9</v>
      </c>
      <c r="CD5" s="3">
        <v>9</v>
      </c>
      <c r="CE5" s="19">
        <v>9</v>
      </c>
      <c r="CF5" s="3">
        <v>9</v>
      </c>
      <c r="CG5" s="19">
        <v>9</v>
      </c>
      <c r="CH5" s="3">
        <v>9</v>
      </c>
      <c r="CI5" s="3">
        <v>9</v>
      </c>
      <c r="CJ5" s="3">
        <v>9</v>
      </c>
      <c r="CK5" s="3">
        <v>9</v>
      </c>
      <c r="CL5" s="3">
        <v>9</v>
      </c>
      <c r="CM5" s="3"/>
      <c r="CN5" s="3"/>
      <c r="CO5" s="3"/>
      <c r="CP5" s="3"/>
      <c r="CT5" s="3">
        <v>9</v>
      </c>
      <c r="CU5" s="3">
        <v>9</v>
      </c>
      <c r="CV5" s="3">
        <v>9</v>
      </c>
      <c r="CW5" s="3">
        <v>9</v>
      </c>
      <c r="CX5" s="3">
        <v>9</v>
      </c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>
        <v>9</v>
      </c>
      <c r="DR5" s="3"/>
      <c r="DS5" s="3"/>
      <c r="DT5" s="3"/>
    </row>
    <row r="6" spans="1:142" ht="15" customHeight="1" x14ac:dyDescent="0.25">
      <c r="A6" s="6" t="s">
        <v>145</v>
      </c>
      <c r="B6" s="2" t="s">
        <v>784</v>
      </c>
      <c r="C6" s="2" t="s">
        <v>800</v>
      </c>
      <c r="D6" s="25" t="s">
        <v>786</v>
      </c>
      <c r="E6" s="4" t="s">
        <v>787</v>
      </c>
      <c r="F6" s="4" t="s">
        <v>801</v>
      </c>
      <c r="G6" s="26">
        <v>1947</v>
      </c>
      <c r="H6" s="4" t="s">
        <v>11</v>
      </c>
      <c r="I6" s="5"/>
      <c r="J6" s="4" t="s">
        <v>789</v>
      </c>
      <c r="K6" s="4" t="s">
        <v>11</v>
      </c>
      <c r="L6" s="2" t="s">
        <v>802</v>
      </c>
      <c r="M6" s="4"/>
      <c r="N6" s="2" t="s">
        <v>803</v>
      </c>
      <c r="O6" s="28" t="s">
        <v>2351</v>
      </c>
      <c r="P6" s="3">
        <v>7</v>
      </c>
      <c r="Q6" s="27">
        <v>1</v>
      </c>
      <c r="R6" s="3"/>
      <c r="S6" s="3">
        <v>2</v>
      </c>
      <c r="T6" s="3"/>
      <c r="U6" s="3">
        <v>1</v>
      </c>
      <c r="V6" s="3">
        <v>5</v>
      </c>
      <c r="W6" s="3"/>
      <c r="X6" s="3"/>
      <c r="Y6" s="3">
        <v>3</v>
      </c>
      <c r="Z6" s="3">
        <v>3</v>
      </c>
      <c r="AA6" s="3">
        <v>1</v>
      </c>
      <c r="AB6" s="3">
        <v>1</v>
      </c>
      <c r="AC6" s="3"/>
      <c r="AD6" s="3">
        <v>2</v>
      </c>
      <c r="AE6" s="3">
        <v>3</v>
      </c>
      <c r="AF6" s="3">
        <v>1</v>
      </c>
      <c r="AG6" s="3">
        <v>0</v>
      </c>
      <c r="AH6" s="3">
        <v>0</v>
      </c>
      <c r="AI6" s="3"/>
      <c r="AJ6" s="3"/>
      <c r="AK6" s="3"/>
      <c r="AL6" s="3"/>
      <c r="AM6" s="3">
        <v>1</v>
      </c>
      <c r="AN6" s="3">
        <v>2</v>
      </c>
      <c r="AO6" s="3">
        <v>6</v>
      </c>
      <c r="AP6" s="3">
        <v>3</v>
      </c>
      <c r="AQ6" s="3">
        <v>6</v>
      </c>
      <c r="AR6" s="3">
        <v>3</v>
      </c>
      <c r="AS6" s="3">
        <v>6</v>
      </c>
      <c r="AT6" s="3"/>
      <c r="AU6" s="3"/>
      <c r="AV6" s="3"/>
      <c r="AW6" s="3"/>
      <c r="AX6" s="3"/>
      <c r="AY6" s="3"/>
      <c r="AZ6" s="3"/>
      <c r="BA6" s="3">
        <v>1</v>
      </c>
      <c r="BB6" s="3">
        <v>1</v>
      </c>
      <c r="BC6" s="3">
        <v>115</v>
      </c>
      <c r="BD6" s="3"/>
      <c r="BE6" s="3"/>
      <c r="BF6" s="3"/>
      <c r="BG6" s="3"/>
      <c r="BH6" s="3">
        <v>2</v>
      </c>
      <c r="BI6" s="3"/>
      <c r="BJ6" s="3"/>
      <c r="BK6" s="3">
        <v>5</v>
      </c>
      <c r="BL6" s="3">
        <v>2</v>
      </c>
      <c r="BM6" s="3"/>
      <c r="BN6" s="3"/>
      <c r="BO6" s="3"/>
      <c r="BP6" s="3"/>
      <c r="BQ6" s="3">
        <v>8</v>
      </c>
      <c r="BR6" s="3"/>
      <c r="BS6" s="3">
        <v>9</v>
      </c>
      <c r="BT6" s="3">
        <v>9</v>
      </c>
      <c r="BU6" s="3">
        <v>7</v>
      </c>
      <c r="BV6" s="3">
        <v>9</v>
      </c>
      <c r="BW6" s="3">
        <v>9</v>
      </c>
      <c r="BX6" s="3">
        <v>9</v>
      </c>
      <c r="BY6" s="3">
        <v>9</v>
      </c>
      <c r="BZ6" s="3">
        <v>9</v>
      </c>
      <c r="CA6" s="3">
        <v>9</v>
      </c>
      <c r="CB6" s="3">
        <v>9</v>
      </c>
      <c r="CC6" s="3">
        <v>9</v>
      </c>
      <c r="CD6" s="3">
        <v>9</v>
      </c>
      <c r="CE6" s="3"/>
      <c r="CF6" s="3">
        <v>9</v>
      </c>
      <c r="CG6" s="3"/>
      <c r="CH6" s="3">
        <v>9</v>
      </c>
      <c r="CI6" s="3">
        <v>9</v>
      </c>
      <c r="CJ6" s="3">
        <v>8</v>
      </c>
      <c r="CK6" s="3">
        <v>9</v>
      </c>
      <c r="CL6" s="3">
        <v>9</v>
      </c>
      <c r="CM6" s="19">
        <v>9</v>
      </c>
      <c r="CN6" s="3"/>
      <c r="CO6" s="3"/>
      <c r="CP6" s="3"/>
      <c r="CT6" s="3">
        <v>9</v>
      </c>
      <c r="CU6" s="3">
        <v>9</v>
      </c>
      <c r="CV6" s="3">
        <v>7</v>
      </c>
      <c r="CW6" s="3">
        <v>9</v>
      </c>
      <c r="CX6" s="3">
        <v>9</v>
      </c>
      <c r="CY6" s="3"/>
      <c r="CZ6" s="3">
        <v>1</v>
      </c>
      <c r="DA6" s="3">
        <v>1</v>
      </c>
      <c r="DB6" s="3">
        <v>9</v>
      </c>
      <c r="DC6" s="3">
        <v>1</v>
      </c>
      <c r="DD6" s="3">
        <v>1</v>
      </c>
      <c r="DE6" s="3">
        <v>9</v>
      </c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R6" s="3"/>
      <c r="DS6" s="3"/>
      <c r="DT6" s="3"/>
    </row>
    <row r="7" spans="1:142" ht="15" customHeight="1" x14ac:dyDescent="0.25">
      <c r="A7" s="6" t="s">
        <v>146</v>
      </c>
      <c r="B7" s="2" t="s">
        <v>784</v>
      </c>
      <c r="C7" s="2" t="s">
        <v>804</v>
      </c>
      <c r="D7" s="25" t="s">
        <v>786</v>
      </c>
      <c r="E7" s="4" t="s">
        <v>787</v>
      </c>
      <c r="F7" s="4" t="s">
        <v>788</v>
      </c>
      <c r="G7" s="29"/>
      <c r="H7" s="4" t="s">
        <v>12</v>
      </c>
      <c r="I7" s="4" t="s">
        <v>805</v>
      </c>
      <c r="J7" s="4" t="s">
        <v>789</v>
      </c>
      <c r="K7" s="4" t="s">
        <v>806</v>
      </c>
      <c r="M7" s="5"/>
      <c r="N7" s="2" t="s">
        <v>807</v>
      </c>
      <c r="O7" s="28" t="s">
        <v>2352</v>
      </c>
      <c r="P7" s="3">
        <v>7</v>
      </c>
      <c r="Q7" s="27">
        <v>1</v>
      </c>
      <c r="R7" s="3"/>
      <c r="S7" s="3">
        <v>2</v>
      </c>
      <c r="T7" s="3"/>
      <c r="U7" s="3">
        <v>1</v>
      </c>
      <c r="V7" s="3">
        <v>5</v>
      </c>
      <c r="W7" s="3"/>
      <c r="X7" s="3"/>
      <c r="Y7" s="3">
        <v>4</v>
      </c>
      <c r="Z7" s="3">
        <v>2</v>
      </c>
      <c r="AA7" s="3">
        <v>1</v>
      </c>
      <c r="AB7" s="3">
        <v>1</v>
      </c>
      <c r="AC7" s="3"/>
      <c r="AD7" s="3"/>
      <c r="AE7" s="3">
        <v>4</v>
      </c>
      <c r="AF7" s="3">
        <v>1</v>
      </c>
      <c r="AG7" s="3"/>
      <c r="AH7" s="3"/>
      <c r="AI7" s="3"/>
      <c r="AJ7" s="3"/>
      <c r="AK7" s="3"/>
      <c r="AL7" s="3"/>
      <c r="AM7" s="3">
        <v>1</v>
      </c>
      <c r="AN7" s="3">
        <v>3</v>
      </c>
      <c r="AO7" s="3">
        <v>4</v>
      </c>
      <c r="AP7" s="3">
        <v>3</v>
      </c>
      <c r="AQ7" s="3">
        <v>6</v>
      </c>
      <c r="AR7" s="3">
        <v>3</v>
      </c>
      <c r="AS7" s="3">
        <v>8</v>
      </c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>
        <v>1</v>
      </c>
      <c r="BR7" s="3">
        <v>9</v>
      </c>
      <c r="BS7" s="3">
        <v>1</v>
      </c>
      <c r="BT7" s="3">
        <v>1</v>
      </c>
      <c r="BU7" s="3">
        <v>8</v>
      </c>
      <c r="BV7" s="3">
        <v>1</v>
      </c>
      <c r="BW7" s="3">
        <v>9</v>
      </c>
      <c r="BX7" s="3">
        <v>9</v>
      </c>
      <c r="BY7" s="3">
        <v>2</v>
      </c>
      <c r="BZ7" s="3">
        <v>1</v>
      </c>
      <c r="CA7" s="3">
        <v>1</v>
      </c>
      <c r="CB7" s="3">
        <v>9</v>
      </c>
      <c r="CC7" s="3">
        <v>9</v>
      </c>
      <c r="CD7" s="3">
        <v>9</v>
      </c>
      <c r="CE7" s="19">
        <v>1</v>
      </c>
      <c r="CF7" s="3">
        <v>3</v>
      </c>
      <c r="CG7" s="19">
        <v>9</v>
      </c>
      <c r="CH7" s="3">
        <v>9</v>
      </c>
      <c r="CI7" s="3">
        <v>9</v>
      </c>
      <c r="CJ7" s="3">
        <v>3</v>
      </c>
      <c r="CK7" s="3">
        <v>9</v>
      </c>
      <c r="CL7" s="3">
        <v>3</v>
      </c>
      <c r="CM7" s="3"/>
      <c r="CN7" s="3"/>
      <c r="CO7" s="3"/>
      <c r="CP7" s="3"/>
      <c r="CT7" s="3">
        <v>9</v>
      </c>
      <c r="CU7" s="3">
        <v>1</v>
      </c>
      <c r="CV7" s="3">
        <v>1</v>
      </c>
      <c r="CW7" s="3"/>
      <c r="CX7" s="3">
        <v>9</v>
      </c>
      <c r="CY7" s="3"/>
      <c r="CZ7" s="3">
        <v>1</v>
      </c>
      <c r="DA7" s="3">
        <v>1</v>
      </c>
      <c r="DB7" s="3">
        <v>1</v>
      </c>
      <c r="DC7" s="3">
        <v>1</v>
      </c>
      <c r="DD7" s="3">
        <v>1</v>
      </c>
      <c r="DE7" s="3">
        <v>1</v>
      </c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R7" s="3"/>
      <c r="DS7" s="3"/>
      <c r="DT7" s="3"/>
    </row>
    <row r="8" spans="1:142" ht="15" customHeight="1" x14ac:dyDescent="0.25">
      <c r="A8" s="6" t="s">
        <v>147</v>
      </c>
      <c r="B8" s="2" t="s">
        <v>784</v>
      </c>
      <c r="C8" s="2" t="s">
        <v>808</v>
      </c>
      <c r="D8" s="25" t="s">
        <v>786</v>
      </c>
      <c r="E8" s="4" t="s">
        <v>787</v>
      </c>
      <c r="F8" s="4" t="s">
        <v>809</v>
      </c>
      <c r="G8" s="26">
        <v>1870</v>
      </c>
      <c r="H8" s="4" t="s">
        <v>13</v>
      </c>
      <c r="I8" s="5"/>
      <c r="J8" s="4" t="s">
        <v>789</v>
      </c>
      <c r="K8" s="4" t="s">
        <v>13</v>
      </c>
      <c r="M8" s="5"/>
      <c r="N8" s="38" t="s">
        <v>810</v>
      </c>
      <c r="O8" s="28" t="s">
        <v>2353</v>
      </c>
      <c r="P8" s="3">
        <v>7</v>
      </c>
      <c r="Q8" s="27">
        <v>1</v>
      </c>
      <c r="R8" s="3"/>
      <c r="S8" s="3">
        <v>2</v>
      </c>
      <c r="T8" s="3"/>
      <c r="U8" s="3">
        <v>1</v>
      </c>
      <c r="V8" s="3">
        <v>4</v>
      </c>
      <c r="W8" s="3"/>
      <c r="X8" s="3"/>
      <c r="Y8" s="3">
        <v>2</v>
      </c>
      <c r="Z8" s="3">
        <v>2</v>
      </c>
      <c r="AA8" s="3">
        <v>1</v>
      </c>
      <c r="AB8" s="3">
        <v>1</v>
      </c>
      <c r="AC8" s="3"/>
      <c r="AD8" s="3">
        <v>2</v>
      </c>
      <c r="AE8" s="3">
        <v>3</v>
      </c>
      <c r="AF8" s="3">
        <v>1</v>
      </c>
      <c r="AG8" s="3">
        <v>0</v>
      </c>
      <c r="AH8" s="3">
        <v>0</v>
      </c>
      <c r="AI8" s="3"/>
      <c r="AJ8" s="3"/>
      <c r="AK8" s="3"/>
      <c r="AL8" s="3"/>
      <c r="AM8" s="3">
        <v>2</v>
      </c>
      <c r="AN8" s="3">
        <v>6</v>
      </c>
      <c r="AO8" s="3">
        <v>6</v>
      </c>
      <c r="AP8" s="3">
        <v>2</v>
      </c>
      <c r="AQ8" s="3">
        <v>5</v>
      </c>
      <c r="AR8" s="3">
        <v>4</v>
      </c>
      <c r="AS8" s="3">
        <v>4</v>
      </c>
      <c r="AT8" s="3"/>
      <c r="AU8" s="3"/>
      <c r="AV8" s="3"/>
      <c r="AW8" s="3"/>
      <c r="AX8" s="3"/>
      <c r="AY8" s="3"/>
      <c r="AZ8" s="3"/>
      <c r="BA8" s="3"/>
      <c r="BB8" s="3">
        <v>1</v>
      </c>
      <c r="BC8" s="3">
        <v>111</v>
      </c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>
        <v>9</v>
      </c>
      <c r="BR8" s="3"/>
      <c r="BS8" s="3">
        <v>9</v>
      </c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R8" s="3"/>
      <c r="DS8" s="3"/>
      <c r="DT8" s="3"/>
    </row>
    <row r="9" spans="1:142" s="3" customFormat="1" ht="15" customHeight="1" x14ac:dyDescent="0.25">
      <c r="A9" s="6" t="s">
        <v>148</v>
      </c>
      <c r="B9" s="2" t="s">
        <v>784</v>
      </c>
      <c r="C9" s="2" t="s">
        <v>811</v>
      </c>
      <c r="D9" s="25" t="s">
        <v>786</v>
      </c>
      <c r="E9" s="4" t="s">
        <v>787</v>
      </c>
      <c r="F9" s="4" t="s">
        <v>793</v>
      </c>
      <c r="G9" s="26">
        <v>1960</v>
      </c>
      <c r="H9" s="4" t="s">
        <v>17</v>
      </c>
      <c r="I9" s="5"/>
      <c r="J9" s="4" t="s">
        <v>789</v>
      </c>
      <c r="K9" s="4" t="s">
        <v>17</v>
      </c>
      <c r="L9" s="2"/>
      <c r="M9" s="5"/>
      <c r="N9" s="2" t="s">
        <v>812</v>
      </c>
      <c r="O9" s="28" t="s">
        <v>2354</v>
      </c>
      <c r="P9" s="3">
        <v>7</v>
      </c>
      <c r="Q9" s="27">
        <v>1</v>
      </c>
      <c r="S9" s="3">
        <v>2</v>
      </c>
      <c r="U9" s="3">
        <v>1</v>
      </c>
      <c r="V9" s="3">
        <v>4</v>
      </c>
      <c r="Y9" s="3">
        <v>6</v>
      </c>
      <c r="Z9" s="3">
        <v>3</v>
      </c>
      <c r="AA9" s="3">
        <v>1</v>
      </c>
      <c r="AB9" s="3">
        <v>1</v>
      </c>
      <c r="AE9" s="3">
        <v>4</v>
      </c>
      <c r="AF9" s="3">
        <v>1</v>
      </c>
      <c r="AG9" s="3">
        <v>0</v>
      </c>
      <c r="AH9" s="3">
        <v>0</v>
      </c>
      <c r="AM9" s="3">
        <v>1</v>
      </c>
      <c r="AN9" s="3">
        <v>3</v>
      </c>
      <c r="AO9" s="3">
        <v>6</v>
      </c>
      <c r="AP9" s="3">
        <v>3</v>
      </c>
      <c r="AQ9" s="3">
        <v>6</v>
      </c>
      <c r="AR9" s="3">
        <v>3</v>
      </c>
      <c r="AS9" s="3">
        <v>5</v>
      </c>
      <c r="BA9" s="3">
        <v>1</v>
      </c>
      <c r="BB9" s="3">
        <v>1</v>
      </c>
      <c r="BQ9" s="3">
        <v>1</v>
      </c>
      <c r="BR9" s="3">
        <v>9</v>
      </c>
      <c r="BS9" s="3">
        <v>9</v>
      </c>
      <c r="BT9" s="19">
        <v>9</v>
      </c>
      <c r="BU9" s="3">
        <v>1</v>
      </c>
      <c r="BV9" s="19">
        <v>9</v>
      </c>
      <c r="BW9" s="19">
        <v>1</v>
      </c>
      <c r="BX9" s="19">
        <v>5</v>
      </c>
      <c r="BY9" s="19">
        <v>9</v>
      </c>
      <c r="BZ9" s="3">
        <v>9</v>
      </c>
      <c r="CA9" s="19">
        <v>7</v>
      </c>
      <c r="CB9" s="19">
        <v>9</v>
      </c>
      <c r="CC9" s="3">
        <v>9</v>
      </c>
      <c r="CD9" s="3">
        <v>8</v>
      </c>
      <c r="CE9" s="19">
        <v>9</v>
      </c>
      <c r="CF9" s="3">
        <v>9</v>
      </c>
      <c r="CG9" s="19">
        <v>9</v>
      </c>
      <c r="CH9" s="3">
        <v>9</v>
      </c>
      <c r="CI9" s="3">
        <v>9</v>
      </c>
      <c r="CJ9" s="3">
        <v>9</v>
      </c>
      <c r="CL9" s="3">
        <v>9</v>
      </c>
      <c r="CT9" s="3">
        <v>9</v>
      </c>
      <c r="CU9" s="3">
        <v>9</v>
      </c>
      <c r="CV9" s="3">
        <v>7</v>
      </c>
      <c r="CW9" s="3">
        <v>7</v>
      </c>
      <c r="CX9" s="3">
        <v>5</v>
      </c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</row>
    <row r="10" spans="1:142" ht="15" customHeight="1" x14ac:dyDescent="0.25">
      <c r="A10" s="6" t="s">
        <v>149</v>
      </c>
      <c r="B10" s="2" t="s">
        <v>784</v>
      </c>
      <c r="C10" s="2" t="s">
        <v>814</v>
      </c>
      <c r="D10" s="25" t="s">
        <v>786</v>
      </c>
      <c r="E10" s="4" t="s">
        <v>787</v>
      </c>
      <c r="F10" s="4" t="s">
        <v>793</v>
      </c>
      <c r="G10" s="26">
        <v>1902</v>
      </c>
      <c r="H10" s="4" t="s">
        <v>23</v>
      </c>
      <c r="I10" s="4" t="s">
        <v>815</v>
      </c>
      <c r="J10" s="4" t="s">
        <v>789</v>
      </c>
      <c r="K10" s="4" t="s">
        <v>816</v>
      </c>
      <c r="M10" s="5"/>
      <c r="N10" s="2" t="s">
        <v>817</v>
      </c>
      <c r="O10" s="28" t="s">
        <v>2355</v>
      </c>
      <c r="P10" s="3">
        <v>7</v>
      </c>
      <c r="Q10" s="27">
        <v>1</v>
      </c>
      <c r="R10" s="3"/>
      <c r="S10" s="3">
        <v>2</v>
      </c>
      <c r="T10" s="3"/>
      <c r="U10" s="3">
        <v>9</v>
      </c>
      <c r="V10" s="3">
        <v>5</v>
      </c>
      <c r="W10" s="3"/>
      <c r="X10" s="3"/>
      <c r="Y10" s="3">
        <v>4</v>
      </c>
      <c r="Z10" s="3">
        <v>2</v>
      </c>
      <c r="AA10" s="3">
        <v>1</v>
      </c>
      <c r="AB10" s="3">
        <v>1</v>
      </c>
      <c r="AC10" s="3"/>
      <c r="AD10" s="3">
        <v>1</v>
      </c>
      <c r="AE10" s="3">
        <v>4</v>
      </c>
      <c r="AF10" s="3">
        <v>2</v>
      </c>
      <c r="AG10" s="3">
        <v>1</v>
      </c>
      <c r="AH10" s="3">
        <v>1</v>
      </c>
      <c r="AI10" s="3"/>
      <c r="AJ10" s="3"/>
      <c r="AK10" s="3"/>
      <c r="AL10" s="3"/>
      <c r="AM10" s="3">
        <v>1</v>
      </c>
      <c r="AN10" s="3">
        <v>2</v>
      </c>
      <c r="AO10" s="3">
        <v>5</v>
      </c>
      <c r="AP10" s="3">
        <v>3</v>
      </c>
      <c r="AQ10" s="3">
        <v>5</v>
      </c>
      <c r="AR10" s="3">
        <v>3</v>
      </c>
      <c r="AS10" s="3">
        <v>6</v>
      </c>
      <c r="AT10" s="3"/>
      <c r="AU10" s="3"/>
      <c r="AV10" s="3"/>
      <c r="AW10" s="3"/>
      <c r="AX10" s="3"/>
      <c r="AY10" s="3"/>
      <c r="AZ10" s="3"/>
      <c r="BA10" s="3"/>
      <c r="BB10" s="3">
        <v>9</v>
      </c>
      <c r="BC10" s="3">
        <v>115</v>
      </c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>
        <v>3</v>
      </c>
      <c r="BO10" s="3"/>
      <c r="BP10" s="3"/>
      <c r="BQ10" s="3">
        <v>9</v>
      </c>
      <c r="BR10" s="3">
        <v>9</v>
      </c>
      <c r="BS10" s="3">
        <v>1</v>
      </c>
      <c r="BT10" s="19">
        <v>7</v>
      </c>
      <c r="BU10" s="3">
        <v>1</v>
      </c>
      <c r="BV10" s="19">
        <v>9</v>
      </c>
      <c r="BW10" s="19">
        <v>9</v>
      </c>
      <c r="BX10" s="19">
        <v>9</v>
      </c>
      <c r="BY10" s="19">
        <v>7</v>
      </c>
      <c r="BZ10" s="3">
        <v>1</v>
      </c>
      <c r="CA10" s="19">
        <v>1</v>
      </c>
      <c r="CB10" s="19">
        <v>9</v>
      </c>
      <c r="CC10" s="3">
        <v>9</v>
      </c>
      <c r="CD10" s="3">
        <v>8</v>
      </c>
      <c r="CE10" s="19">
        <v>1</v>
      </c>
      <c r="CF10" s="3">
        <v>9</v>
      </c>
      <c r="CG10" s="19">
        <v>8</v>
      </c>
      <c r="CH10" s="3">
        <v>9</v>
      </c>
      <c r="CI10" s="3">
        <v>9</v>
      </c>
      <c r="CJ10" s="3">
        <v>9</v>
      </c>
      <c r="CK10" s="3">
        <v>9</v>
      </c>
      <c r="CL10" s="3">
        <v>9</v>
      </c>
      <c r="CM10" s="3"/>
      <c r="CN10" s="3"/>
      <c r="CO10" s="3"/>
      <c r="CP10" s="3"/>
      <c r="CT10" s="3">
        <v>1</v>
      </c>
      <c r="CU10" s="3">
        <v>1</v>
      </c>
      <c r="CV10" s="3">
        <v>9</v>
      </c>
      <c r="CW10" s="3">
        <v>9</v>
      </c>
      <c r="CX10" s="3">
        <v>9</v>
      </c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R10" s="3"/>
      <c r="DS10" s="3"/>
      <c r="DT10" s="3"/>
    </row>
    <row r="11" spans="1:142" ht="15" customHeight="1" x14ac:dyDescent="0.25">
      <c r="A11" s="6" t="s">
        <v>150</v>
      </c>
      <c r="B11" s="2" t="s">
        <v>784</v>
      </c>
      <c r="C11" s="2" t="s">
        <v>818</v>
      </c>
      <c r="D11" s="25" t="s">
        <v>786</v>
      </c>
      <c r="E11" s="4" t="s">
        <v>787</v>
      </c>
      <c r="F11" s="4" t="s">
        <v>793</v>
      </c>
      <c r="G11" s="26">
        <v>1842</v>
      </c>
      <c r="H11" s="4" t="s">
        <v>24</v>
      </c>
      <c r="I11" s="4" t="s">
        <v>819</v>
      </c>
      <c r="J11" s="4" t="s">
        <v>789</v>
      </c>
      <c r="K11" s="4" t="s">
        <v>24</v>
      </c>
      <c r="M11" s="5"/>
      <c r="N11" s="2" t="s">
        <v>820</v>
      </c>
      <c r="O11" s="28" t="s">
        <v>2356</v>
      </c>
      <c r="P11" s="3">
        <v>7</v>
      </c>
      <c r="Q11" s="27">
        <v>2</v>
      </c>
      <c r="R11" s="3"/>
      <c r="S11" s="3">
        <v>2</v>
      </c>
      <c r="T11" s="3"/>
      <c r="U11" s="3">
        <v>9</v>
      </c>
      <c r="V11" s="3">
        <v>5</v>
      </c>
      <c r="W11" s="3"/>
      <c r="X11" s="3"/>
      <c r="Y11" s="3">
        <v>5</v>
      </c>
      <c r="Z11" s="3">
        <v>2</v>
      </c>
      <c r="AA11" s="3">
        <v>1</v>
      </c>
      <c r="AB11" s="3">
        <v>1</v>
      </c>
      <c r="AC11" s="3"/>
      <c r="AD11" s="3">
        <v>5</v>
      </c>
      <c r="AE11" s="3">
        <v>5</v>
      </c>
      <c r="AF11" s="3">
        <v>7</v>
      </c>
      <c r="AG11" s="3">
        <v>2</v>
      </c>
      <c r="AH11" s="3">
        <v>1</v>
      </c>
      <c r="AI11" s="3"/>
      <c r="AJ11" s="3"/>
      <c r="AK11" s="3"/>
      <c r="AL11" s="3"/>
      <c r="AM11" s="3">
        <v>1</v>
      </c>
      <c r="AN11" s="3"/>
      <c r="AO11" s="3">
        <v>3</v>
      </c>
      <c r="AP11" s="3">
        <v>2</v>
      </c>
      <c r="AQ11" s="3">
        <v>5</v>
      </c>
      <c r="AR11" s="3">
        <v>3</v>
      </c>
      <c r="AS11" s="3">
        <v>7</v>
      </c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>
        <v>2</v>
      </c>
      <c r="BO11" s="3"/>
      <c r="BP11" s="3"/>
      <c r="BQ11" s="3">
        <v>1</v>
      </c>
      <c r="BR11" s="3">
        <v>9</v>
      </c>
      <c r="BS11" s="3">
        <v>9</v>
      </c>
      <c r="BT11" s="19">
        <v>9</v>
      </c>
      <c r="BU11" s="3">
        <v>1</v>
      </c>
      <c r="BV11" s="19">
        <v>9</v>
      </c>
      <c r="BW11" s="19">
        <v>1</v>
      </c>
      <c r="BX11" s="19">
        <v>7</v>
      </c>
      <c r="BY11" s="19">
        <v>7</v>
      </c>
      <c r="BZ11" s="3">
        <v>9</v>
      </c>
      <c r="CA11" s="19">
        <v>9</v>
      </c>
      <c r="CB11" s="19">
        <v>9</v>
      </c>
      <c r="CC11" s="3">
        <v>9</v>
      </c>
      <c r="CD11" s="3">
        <v>9</v>
      </c>
      <c r="CE11" s="19">
        <v>9</v>
      </c>
      <c r="CF11" s="3">
        <v>9</v>
      </c>
      <c r="CG11" s="19">
        <v>9</v>
      </c>
      <c r="CH11" s="3">
        <v>9</v>
      </c>
      <c r="CI11" s="3">
        <v>9</v>
      </c>
      <c r="CJ11" s="3">
        <v>9</v>
      </c>
      <c r="CK11" s="3">
        <v>7</v>
      </c>
      <c r="CL11" s="3">
        <v>9</v>
      </c>
      <c r="CM11" s="3"/>
      <c r="CN11" s="3"/>
      <c r="CO11" s="3"/>
      <c r="CP11" s="3"/>
      <c r="CT11" s="3">
        <v>9</v>
      </c>
      <c r="CU11" s="3">
        <v>9</v>
      </c>
      <c r="CV11" s="3">
        <v>9</v>
      </c>
      <c r="CW11" s="3">
        <v>9</v>
      </c>
      <c r="CX11" s="3">
        <v>9</v>
      </c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R11" s="3"/>
    </row>
    <row r="12" spans="1:142" ht="15" customHeight="1" x14ac:dyDescent="0.25">
      <c r="A12" s="6" t="s">
        <v>151</v>
      </c>
      <c r="B12" s="2" t="s">
        <v>784</v>
      </c>
      <c r="C12" s="2" t="s">
        <v>821</v>
      </c>
      <c r="D12" s="25" t="s">
        <v>786</v>
      </c>
      <c r="E12" s="4" t="s">
        <v>787</v>
      </c>
      <c r="F12" s="4" t="s">
        <v>822</v>
      </c>
      <c r="G12" s="29"/>
      <c r="H12" s="4" t="s">
        <v>28</v>
      </c>
      <c r="I12" s="5"/>
      <c r="J12" s="4" t="s">
        <v>789</v>
      </c>
      <c r="K12" s="4" t="s">
        <v>806</v>
      </c>
      <c r="M12" s="5"/>
      <c r="N12" s="2" t="s">
        <v>823</v>
      </c>
      <c r="O12" s="28" t="s">
        <v>2357</v>
      </c>
      <c r="P12" s="3">
        <v>7</v>
      </c>
      <c r="Q12" s="27">
        <v>1</v>
      </c>
      <c r="R12" s="19">
        <v>6</v>
      </c>
      <c r="S12" s="3">
        <v>2</v>
      </c>
      <c r="T12" s="3">
        <v>2</v>
      </c>
      <c r="U12" s="3">
        <v>1</v>
      </c>
      <c r="V12" s="3">
        <v>5</v>
      </c>
      <c r="W12" s="3"/>
      <c r="X12" s="3"/>
      <c r="Y12" s="3">
        <v>4</v>
      </c>
      <c r="Z12" s="3">
        <v>2</v>
      </c>
      <c r="AA12" s="3">
        <v>1</v>
      </c>
      <c r="AB12" s="3">
        <v>1</v>
      </c>
      <c r="AC12" s="3"/>
      <c r="AD12" s="3">
        <v>2</v>
      </c>
      <c r="AE12" s="3">
        <v>4</v>
      </c>
      <c r="AF12" s="3">
        <v>1</v>
      </c>
      <c r="AG12" s="3">
        <v>0</v>
      </c>
      <c r="AH12" s="3">
        <v>0</v>
      </c>
      <c r="AI12" s="3"/>
      <c r="AJ12" s="3"/>
      <c r="AK12" s="3"/>
      <c r="AL12" s="3"/>
      <c r="AM12" s="3"/>
      <c r="AN12" s="3">
        <v>1</v>
      </c>
      <c r="AO12" s="3">
        <v>4</v>
      </c>
      <c r="AP12" s="3">
        <v>3</v>
      </c>
      <c r="AQ12" s="3">
        <v>6</v>
      </c>
      <c r="AR12" s="3">
        <v>3</v>
      </c>
      <c r="AS12" s="3">
        <v>7</v>
      </c>
      <c r="AT12" s="3"/>
      <c r="AU12" s="3"/>
      <c r="AV12" s="3"/>
      <c r="AW12" s="3"/>
      <c r="AX12" s="3"/>
      <c r="AY12" s="3"/>
      <c r="AZ12" s="3"/>
      <c r="BA12" s="3"/>
      <c r="BB12" s="3">
        <v>1</v>
      </c>
      <c r="BC12" s="3"/>
      <c r="BD12" s="3"/>
      <c r="BE12" s="3"/>
      <c r="BF12" s="3"/>
      <c r="BG12" s="3">
        <v>9</v>
      </c>
      <c r="BH12" s="3"/>
      <c r="BI12" s="3"/>
      <c r="BJ12" s="3"/>
      <c r="BK12" s="3"/>
      <c r="BL12" s="3"/>
      <c r="BM12" s="3"/>
      <c r="BN12" s="3">
        <v>4</v>
      </c>
      <c r="BO12" s="3"/>
      <c r="BP12" s="3"/>
      <c r="BQ12" s="3">
        <v>9</v>
      </c>
      <c r="BR12" s="3">
        <v>9</v>
      </c>
      <c r="BS12" s="3">
        <v>9</v>
      </c>
      <c r="BT12" s="19">
        <v>9</v>
      </c>
      <c r="BU12" s="3">
        <v>7</v>
      </c>
      <c r="BV12" s="19">
        <v>9</v>
      </c>
      <c r="BW12" s="19">
        <v>9</v>
      </c>
      <c r="BX12" s="19">
        <v>9</v>
      </c>
      <c r="BY12" s="19">
        <v>9</v>
      </c>
      <c r="BZ12" s="19">
        <v>9</v>
      </c>
      <c r="CA12" s="19">
        <v>9</v>
      </c>
      <c r="CB12" s="19">
        <v>9</v>
      </c>
      <c r="CC12" s="19">
        <v>9</v>
      </c>
      <c r="CD12" s="3">
        <v>9</v>
      </c>
      <c r="CE12" s="19">
        <v>9</v>
      </c>
      <c r="CF12" s="3">
        <v>9</v>
      </c>
      <c r="CG12" s="19">
        <v>9</v>
      </c>
      <c r="CH12" s="3">
        <v>9</v>
      </c>
      <c r="CI12" s="3">
        <v>9</v>
      </c>
      <c r="CJ12" s="3">
        <v>9</v>
      </c>
      <c r="CK12" s="3">
        <v>9</v>
      </c>
      <c r="CL12" s="3">
        <v>9</v>
      </c>
      <c r="CM12" s="3"/>
      <c r="CN12" s="3"/>
      <c r="CO12" s="3"/>
      <c r="CP12" s="3"/>
      <c r="CT12" s="3">
        <v>9</v>
      </c>
      <c r="CU12" s="3">
        <v>9</v>
      </c>
      <c r="CV12" s="3">
        <v>9</v>
      </c>
      <c r="CW12" s="3">
        <v>9</v>
      </c>
      <c r="CX12" s="3">
        <v>9</v>
      </c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>
        <v>9</v>
      </c>
      <c r="DR12" s="3"/>
    </row>
    <row r="13" spans="1:142" s="3" customFormat="1" ht="15" customHeight="1" x14ac:dyDescent="0.25">
      <c r="A13" s="6" t="s">
        <v>152</v>
      </c>
      <c r="B13" s="2" t="s">
        <v>784</v>
      </c>
      <c r="C13" s="2" t="s">
        <v>824</v>
      </c>
      <c r="D13" s="25" t="s">
        <v>786</v>
      </c>
      <c r="E13" s="4" t="s">
        <v>787</v>
      </c>
      <c r="F13" s="4" t="s">
        <v>788</v>
      </c>
      <c r="G13" s="26">
        <v>1939</v>
      </c>
      <c r="H13" s="4" t="s">
        <v>29</v>
      </c>
      <c r="I13" s="4" t="s">
        <v>825</v>
      </c>
      <c r="J13" s="4" t="s">
        <v>789</v>
      </c>
      <c r="K13" s="4" t="s">
        <v>825</v>
      </c>
      <c r="L13" s="2" t="s">
        <v>802</v>
      </c>
      <c r="M13" s="5"/>
      <c r="N13" s="2" t="s">
        <v>826</v>
      </c>
      <c r="O13" s="28" t="s">
        <v>2358</v>
      </c>
      <c r="P13" s="3">
        <v>6</v>
      </c>
      <c r="Q13" s="27">
        <v>2</v>
      </c>
      <c r="R13" s="19">
        <v>6</v>
      </c>
      <c r="S13" s="3">
        <v>2</v>
      </c>
      <c r="T13" s="3">
        <v>3</v>
      </c>
      <c r="U13" s="3">
        <v>1</v>
      </c>
      <c r="V13" s="3">
        <v>5</v>
      </c>
      <c r="Y13" s="3">
        <v>4</v>
      </c>
      <c r="Z13" s="3">
        <v>2</v>
      </c>
      <c r="AA13" s="3">
        <v>1</v>
      </c>
      <c r="AB13" s="3">
        <v>1</v>
      </c>
      <c r="AD13" s="3">
        <v>2</v>
      </c>
      <c r="AE13" s="3">
        <v>4</v>
      </c>
      <c r="AF13" s="3">
        <v>1</v>
      </c>
      <c r="AM13" s="3">
        <v>1</v>
      </c>
      <c r="AN13" s="3">
        <v>2</v>
      </c>
      <c r="AO13" s="3">
        <v>5</v>
      </c>
      <c r="AP13" s="3">
        <v>3</v>
      </c>
      <c r="AQ13" s="3">
        <v>5</v>
      </c>
      <c r="AR13" s="3">
        <v>3</v>
      </c>
      <c r="AS13" s="3">
        <v>7</v>
      </c>
      <c r="BB13" s="3">
        <v>1</v>
      </c>
      <c r="BG13" s="3">
        <v>9</v>
      </c>
      <c r="BQ13" s="3">
        <v>9</v>
      </c>
      <c r="BR13" s="3">
        <v>9</v>
      </c>
      <c r="BS13" s="3">
        <v>9</v>
      </c>
      <c r="BT13" s="19">
        <v>9</v>
      </c>
      <c r="BU13" s="3">
        <v>8</v>
      </c>
      <c r="BV13" s="19">
        <v>9</v>
      </c>
      <c r="BW13" s="19">
        <v>9</v>
      </c>
      <c r="BX13" s="19">
        <v>9</v>
      </c>
      <c r="BY13" s="19">
        <v>9</v>
      </c>
      <c r="BZ13" s="19">
        <v>9</v>
      </c>
      <c r="CA13" s="19">
        <v>9</v>
      </c>
      <c r="CB13" s="19">
        <v>9</v>
      </c>
      <c r="CC13" s="19">
        <v>9</v>
      </c>
      <c r="CD13" s="3">
        <v>8</v>
      </c>
      <c r="CE13" s="19">
        <v>9</v>
      </c>
      <c r="CF13" s="3">
        <v>8</v>
      </c>
      <c r="CG13" s="19">
        <v>9</v>
      </c>
      <c r="CH13" s="3">
        <v>9</v>
      </c>
      <c r="CI13" s="3">
        <v>9</v>
      </c>
      <c r="CJ13" s="3">
        <v>9</v>
      </c>
      <c r="CK13" s="3">
        <v>9</v>
      </c>
      <c r="CL13" s="3">
        <v>7</v>
      </c>
      <c r="CT13" s="3">
        <v>8</v>
      </c>
      <c r="CU13" s="3">
        <v>9</v>
      </c>
      <c r="CV13" s="3">
        <v>6</v>
      </c>
      <c r="CW13" s="3">
        <v>9</v>
      </c>
      <c r="CX13" s="3">
        <v>9</v>
      </c>
      <c r="DP13" s="3">
        <v>9</v>
      </c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</row>
    <row r="14" spans="1:142" ht="15" customHeight="1" x14ac:dyDescent="0.25">
      <c r="A14" s="6" t="s">
        <v>153</v>
      </c>
      <c r="B14" s="2" t="s">
        <v>784</v>
      </c>
      <c r="C14" s="2" t="s">
        <v>827</v>
      </c>
      <c r="D14" s="25" t="s">
        <v>786</v>
      </c>
      <c r="E14" s="4" t="s">
        <v>787</v>
      </c>
      <c r="F14" s="4" t="s">
        <v>788</v>
      </c>
      <c r="G14" s="26">
        <v>1976</v>
      </c>
      <c r="H14" s="4" t="s">
        <v>35</v>
      </c>
      <c r="I14" s="4" t="s">
        <v>828</v>
      </c>
      <c r="J14" s="4" t="s">
        <v>789</v>
      </c>
      <c r="K14" s="4" t="s">
        <v>35</v>
      </c>
      <c r="L14" s="2" t="s">
        <v>790</v>
      </c>
      <c r="M14" s="5"/>
      <c r="N14" s="2" t="s">
        <v>829</v>
      </c>
      <c r="O14" s="28" t="s">
        <v>2359</v>
      </c>
      <c r="P14" s="3">
        <v>7</v>
      </c>
      <c r="Q14" s="27">
        <v>1</v>
      </c>
      <c r="R14" s="3"/>
      <c r="S14" s="3">
        <v>2</v>
      </c>
      <c r="T14" s="3"/>
      <c r="U14" s="3">
        <v>1</v>
      </c>
      <c r="V14" s="3">
        <v>4</v>
      </c>
      <c r="W14" s="3"/>
      <c r="X14" s="3"/>
      <c r="Y14" s="3">
        <v>2</v>
      </c>
      <c r="Z14" s="3">
        <v>2</v>
      </c>
      <c r="AA14" s="3">
        <v>1</v>
      </c>
      <c r="AB14" s="3">
        <v>1</v>
      </c>
      <c r="AC14" s="3"/>
      <c r="AD14" s="3">
        <v>2</v>
      </c>
      <c r="AE14" s="3">
        <v>6</v>
      </c>
      <c r="AF14" s="3">
        <v>1</v>
      </c>
      <c r="AG14" s="3"/>
      <c r="AH14" s="3"/>
      <c r="AI14" s="3"/>
      <c r="AJ14" s="3"/>
      <c r="AK14" s="3"/>
      <c r="AL14" s="3"/>
      <c r="AM14" s="3">
        <v>1</v>
      </c>
      <c r="AN14" s="3">
        <v>2</v>
      </c>
      <c r="AO14" s="3">
        <v>7</v>
      </c>
      <c r="AP14" s="3">
        <v>3</v>
      </c>
      <c r="AQ14" s="3">
        <v>6</v>
      </c>
      <c r="AR14" s="3">
        <v>3</v>
      </c>
      <c r="AS14" s="3">
        <v>5</v>
      </c>
      <c r="AT14" s="3"/>
      <c r="AU14" s="3">
        <v>116</v>
      </c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>
        <v>976</v>
      </c>
      <c r="BJ14" s="3">
        <v>1078</v>
      </c>
      <c r="BK14" s="3"/>
      <c r="BL14" s="3"/>
      <c r="BM14" s="3"/>
      <c r="BN14" s="3"/>
      <c r="BO14" s="3"/>
      <c r="BP14" s="3"/>
      <c r="BQ14" s="3">
        <v>1</v>
      </c>
      <c r="BR14" s="3">
        <v>1</v>
      </c>
      <c r="BS14" s="3">
        <v>1</v>
      </c>
      <c r="BT14" s="3">
        <v>1</v>
      </c>
      <c r="BU14" s="3">
        <v>1</v>
      </c>
      <c r="BV14" s="3">
        <v>1</v>
      </c>
      <c r="BW14" s="3">
        <v>7</v>
      </c>
      <c r="BX14" s="3">
        <v>9</v>
      </c>
      <c r="BY14" s="3">
        <v>1</v>
      </c>
      <c r="BZ14" s="3">
        <v>1</v>
      </c>
      <c r="CA14" s="3">
        <v>9</v>
      </c>
      <c r="CB14" s="3">
        <v>1</v>
      </c>
      <c r="CC14" s="3">
        <v>9</v>
      </c>
      <c r="CD14" s="3">
        <v>9</v>
      </c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T14" s="3"/>
      <c r="CU14" s="3"/>
      <c r="CV14" s="3"/>
      <c r="CW14" s="3"/>
      <c r="CX14" s="3"/>
      <c r="CY14" s="3"/>
      <c r="CZ14" s="3">
        <v>1</v>
      </c>
      <c r="DA14" s="3">
        <v>1</v>
      </c>
      <c r="DB14" s="3">
        <v>1</v>
      </c>
      <c r="DC14" s="3">
        <v>1</v>
      </c>
      <c r="DD14" s="3">
        <v>1</v>
      </c>
      <c r="DE14" s="3">
        <v>1</v>
      </c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R14" s="3"/>
    </row>
    <row r="15" spans="1:142" s="3" customFormat="1" ht="15" customHeight="1" x14ac:dyDescent="0.25">
      <c r="A15" s="6" t="s">
        <v>154</v>
      </c>
      <c r="B15" s="2" t="s">
        <v>784</v>
      </c>
      <c r="C15" s="2" t="s">
        <v>830</v>
      </c>
      <c r="D15" s="25" t="s">
        <v>786</v>
      </c>
      <c r="E15" s="4" t="s">
        <v>787</v>
      </c>
      <c r="F15" s="4" t="s">
        <v>793</v>
      </c>
      <c r="G15" s="26">
        <v>1975</v>
      </c>
      <c r="H15" s="4" t="s">
        <v>36</v>
      </c>
      <c r="I15" s="4" t="s">
        <v>831</v>
      </c>
      <c r="J15" s="4" t="s">
        <v>789</v>
      </c>
      <c r="K15" s="4" t="s">
        <v>36</v>
      </c>
      <c r="L15" s="2" t="s">
        <v>802</v>
      </c>
      <c r="M15" s="4" t="s">
        <v>832</v>
      </c>
      <c r="N15" s="2" t="s">
        <v>833</v>
      </c>
      <c r="O15" s="28" t="s">
        <v>2360</v>
      </c>
      <c r="P15" s="3">
        <v>7</v>
      </c>
      <c r="Q15" s="27">
        <v>1</v>
      </c>
      <c r="S15" s="3">
        <v>2</v>
      </c>
      <c r="U15" s="3">
        <v>1</v>
      </c>
      <c r="V15" s="3">
        <v>5</v>
      </c>
      <c r="Y15" s="3">
        <v>3</v>
      </c>
      <c r="Z15" s="3">
        <v>3</v>
      </c>
      <c r="AA15" s="3">
        <v>1</v>
      </c>
      <c r="AB15" s="3">
        <v>1</v>
      </c>
      <c r="AD15" s="3">
        <v>2</v>
      </c>
      <c r="AE15" s="3">
        <v>3</v>
      </c>
      <c r="AF15" s="3">
        <v>1</v>
      </c>
      <c r="AG15" s="3">
        <v>0</v>
      </c>
      <c r="AH15" s="3">
        <v>0</v>
      </c>
      <c r="AN15" s="3">
        <v>2</v>
      </c>
      <c r="AO15" s="3">
        <v>5</v>
      </c>
      <c r="AP15" s="3">
        <v>3</v>
      </c>
      <c r="AQ15" s="3">
        <v>6</v>
      </c>
      <c r="AR15" s="3">
        <v>3</v>
      </c>
      <c r="AS15" s="3">
        <v>7</v>
      </c>
      <c r="BK15" s="3">
        <v>5</v>
      </c>
      <c r="BQ15" s="3">
        <v>1</v>
      </c>
      <c r="BR15" s="3">
        <v>1</v>
      </c>
      <c r="BS15" s="3">
        <v>1</v>
      </c>
      <c r="BT15" s="3">
        <v>1</v>
      </c>
      <c r="BU15" s="3">
        <v>1</v>
      </c>
      <c r="BV15" s="3">
        <v>9</v>
      </c>
      <c r="BW15" s="3">
        <v>1</v>
      </c>
      <c r="BX15" s="3">
        <v>1</v>
      </c>
      <c r="BY15" s="3">
        <v>1</v>
      </c>
      <c r="BZ15" s="3">
        <v>9</v>
      </c>
      <c r="CA15" s="3">
        <v>9</v>
      </c>
      <c r="CB15" s="3">
        <v>9</v>
      </c>
      <c r="CC15" s="3">
        <v>9</v>
      </c>
      <c r="CD15" s="3">
        <v>9</v>
      </c>
      <c r="CZ15" s="3">
        <v>3</v>
      </c>
      <c r="DA15" s="3">
        <v>3</v>
      </c>
      <c r="DB15" s="3">
        <v>1</v>
      </c>
      <c r="DC15" s="3">
        <v>3</v>
      </c>
      <c r="DD15" s="3">
        <v>3</v>
      </c>
      <c r="DE15" s="3">
        <v>9</v>
      </c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</row>
    <row r="16" spans="1:142" ht="15" customHeight="1" x14ac:dyDescent="0.25">
      <c r="A16" s="6" t="s">
        <v>155</v>
      </c>
      <c r="B16" s="2" t="s">
        <v>784</v>
      </c>
      <c r="C16" s="2" t="s">
        <v>834</v>
      </c>
      <c r="D16" s="25" t="s">
        <v>786</v>
      </c>
      <c r="E16" s="4" t="s">
        <v>787</v>
      </c>
      <c r="F16" s="4" t="s">
        <v>788</v>
      </c>
      <c r="G16" s="26">
        <v>1962</v>
      </c>
      <c r="H16" s="4" t="s">
        <v>37</v>
      </c>
      <c r="I16" s="5"/>
      <c r="J16" s="4" t="s">
        <v>789</v>
      </c>
      <c r="K16" s="4" t="s">
        <v>835</v>
      </c>
      <c r="L16" s="2" t="s">
        <v>790</v>
      </c>
      <c r="M16" s="4" t="s">
        <v>836</v>
      </c>
      <c r="N16" s="2" t="s">
        <v>837</v>
      </c>
      <c r="O16" s="28" t="s">
        <v>2361</v>
      </c>
      <c r="P16" s="3">
        <v>6</v>
      </c>
      <c r="Q16" s="27">
        <v>1</v>
      </c>
      <c r="R16" s="3"/>
      <c r="S16" s="3">
        <v>2</v>
      </c>
      <c r="T16" s="3">
        <v>2</v>
      </c>
      <c r="U16" s="3">
        <v>1</v>
      </c>
      <c r="V16" s="3">
        <v>4</v>
      </c>
      <c r="W16" s="3"/>
      <c r="X16" s="3"/>
      <c r="Y16" s="3">
        <v>3</v>
      </c>
      <c r="Z16" s="3">
        <v>3</v>
      </c>
      <c r="AA16" s="3">
        <v>1</v>
      </c>
      <c r="AB16" s="3">
        <v>1</v>
      </c>
      <c r="AC16" s="3"/>
      <c r="AD16" s="3">
        <v>2</v>
      </c>
      <c r="AE16" s="3">
        <v>4</v>
      </c>
      <c r="AF16" s="3">
        <v>1</v>
      </c>
      <c r="AG16" s="3"/>
      <c r="AH16" s="3"/>
      <c r="AI16" s="3"/>
      <c r="AJ16" s="3"/>
      <c r="AK16" s="3"/>
      <c r="AL16" s="3"/>
      <c r="AM16" s="3">
        <v>1</v>
      </c>
      <c r="AN16" s="3">
        <v>4</v>
      </c>
      <c r="AO16" s="3">
        <v>7</v>
      </c>
      <c r="AP16" s="3">
        <v>3</v>
      </c>
      <c r="AQ16" s="3">
        <v>6</v>
      </c>
      <c r="AR16" s="3">
        <v>3</v>
      </c>
      <c r="AS16" s="3">
        <v>5</v>
      </c>
      <c r="AT16" s="3"/>
      <c r="AU16" s="3">
        <v>109</v>
      </c>
      <c r="AV16" s="3"/>
      <c r="AW16" s="3"/>
      <c r="AX16" s="3"/>
      <c r="AY16" s="3"/>
      <c r="AZ16" s="3"/>
      <c r="BA16" s="3"/>
      <c r="BB16" s="3">
        <v>1</v>
      </c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>
        <v>9</v>
      </c>
      <c r="BR16" s="3">
        <v>9</v>
      </c>
      <c r="BS16" s="3">
        <v>1</v>
      </c>
      <c r="BT16" s="3"/>
      <c r="BU16" s="3">
        <v>1</v>
      </c>
      <c r="BV16" s="19">
        <v>9</v>
      </c>
      <c r="BW16" s="19">
        <v>9</v>
      </c>
      <c r="BX16" s="19">
        <v>5</v>
      </c>
      <c r="BY16" s="19">
        <v>3</v>
      </c>
      <c r="BZ16" s="3">
        <v>1</v>
      </c>
      <c r="CA16" s="19">
        <v>1</v>
      </c>
      <c r="CB16" s="19">
        <v>9</v>
      </c>
      <c r="CC16" s="3">
        <v>9</v>
      </c>
      <c r="CD16" s="3">
        <v>8</v>
      </c>
      <c r="CE16" s="19">
        <v>1</v>
      </c>
      <c r="CF16" s="3">
        <v>9</v>
      </c>
      <c r="CG16" s="19">
        <v>9</v>
      </c>
      <c r="CH16" s="3">
        <v>9</v>
      </c>
      <c r="CI16" s="3">
        <v>9</v>
      </c>
      <c r="CJ16" s="3">
        <v>9</v>
      </c>
      <c r="CK16" s="3">
        <v>9</v>
      </c>
      <c r="CL16" s="3">
        <v>9</v>
      </c>
      <c r="CM16" s="3"/>
      <c r="CN16" s="3"/>
      <c r="CO16" s="3"/>
      <c r="CP16" s="3"/>
      <c r="CT16" s="3">
        <v>1</v>
      </c>
      <c r="CU16" s="3">
        <v>1</v>
      </c>
      <c r="CV16" s="3">
        <v>9</v>
      </c>
      <c r="CW16" s="3">
        <v>9</v>
      </c>
      <c r="CX16" s="3">
        <v>7</v>
      </c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R16" s="3"/>
    </row>
    <row r="17" spans="1:142" ht="15" customHeight="1" x14ac:dyDescent="0.25">
      <c r="A17" s="6" t="s">
        <v>156</v>
      </c>
      <c r="B17" s="2" t="s">
        <v>784</v>
      </c>
      <c r="C17" s="2" t="s">
        <v>838</v>
      </c>
      <c r="D17" s="25" t="s">
        <v>786</v>
      </c>
      <c r="E17" s="4" t="s">
        <v>787</v>
      </c>
      <c r="F17" s="4" t="s">
        <v>793</v>
      </c>
      <c r="G17" s="26">
        <v>1900</v>
      </c>
      <c r="H17" s="4" t="s">
        <v>40</v>
      </c>
      <c r="I17" s="4" t="s">
        <v>839</v>
      </c>
      <c r="J17" s="4" t="s">
        <v>789</v>
      </c>
      <c r="K17" s="4" t="s">
        <v>840</v>
      </c>
      <c r="M17" s="5"/>
      <c r="N17" s="2" t="s">
        <v>841</v>
      </c>
      <c r="O17" s="28" t="s">
        <v>2362</v>
      </c>
      <c r="P17" s="3">
        <v>7</v>
      </c>
      <c r="Q17" s="27">
        <v>2</v>
      </c>
      <c r="R17" s="3"/>
      <c r="S17" s="3">
        <v>2</v>
      </c>
      <c r="T17" s="3">
        <v>2</v>
      </c>
      <c r="U17" s="3">
        <v>1</v>
      </c>
      <c r="V17" s="3">
        <v>4</v>
      </c>
      <c r="W17" s="3"/>
      <c r="X17" s="3"/>
      <c r="Y17" s="3">
        <v>5</v>
      </c>
      <c r="Z17" s="3">
        <v>2</v>
      </c>
      <c r="AA17" s="3">
        <v>1</v>
      </c>
      <c r="AB17" s="3">
        <v>1</v>
      </c>
      <c r="AC17" s="3"/>
      <c r="AD17" s="3">
        <v>2</v>
      </c>
      <c r="AE17" s="3">
        <v>4</v>
      </c>
      <c r="AF17" s="3">
        <v>1</v>
      </c>
      <c r="AG17" s="3"/>
      <c r="AH17" s="3"/>
      <c r="AI17" s="3"/>
      <c r="AJ17" s="3"/>
      <c r="AK17" s="3"/>
      <c r="AL17" s="3"/>
      <c r="AM17" s="3">
        <v>1</v>
      </c>
      <c r="AN17" s="3">
        <v>2</v>
      </c>
      <c r="AO17" s="3">
        <v>5</v>
      </c>
      <c r="AP17" s="3">
        <v>3</v>
      </c>
      <c r="AQ17" s="3">
        <v>5</v>
      </c>
      <c r="AR17" s="3">
        <v>3</v>
      </c>
      <c r="AS17" s="3">
        <v>7</v>
      </c>
      <c r="AT17" s="3"/>
      <c r="AU17" s="3"/>
      <c r="AV17" s="3"/>
      <c r="AW17" s="3"/>
      <c r="AX17" s="3"/>
      <c r="AY17" s="3"/>
      <c r="AZ17" s="3"/>
      <c r="BA17" s="3"/>
      <c r="BB17" s="3">
        <v>1</v>
      </c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>
        <v>8</v>
      </c>
      <c r="BR17" s="3">
        <v>9</v>
      </c>
      <c r="BS17" s="3">
        <v>9</v>
      </c>
      <c r="BT17" s="19">
        <v>5</v>
      </c>
      <c r="BU17" s="3">
        <v>5</v>
      </c>
      <c r="BV17" s="19">
        <v>9</v>
      </c>
      <c r="BW17" s="19">
        <v>9</v>
      </c>
      <c r="BX17" s="19">
        <v>9</v>
      </c>
      <c r="BY17" s="19">
        <v>7</v>
      </c>
      <c r="BZ17" s="19">
        <v>9</v>
      </c>
      <c r="CA17" s="19">
        <v>7</v>
      </c>
      <c r="CB17" s="19">
        <v>9</v>
      </c>
      <c r="CC17" s="19">
        <v>9</v>
      </c>
      <c r="CD17" s="3">
        <v>9</v>
      </c>
      <c r="CE17" s="19">
        <v>9</v>
      </c>
      <c r="CF17" s="3">
        <v>9</v>
      </c>
      <c r="CG17" s="19">
        <v>9</v>
      </c>
      <c r="CH17" s="3">
        <v>9</v>
      </c>
      <c r="CI17" s="3">
        <v>9</v>
      </c>
      <c r="CJ17" s="3">
        <v>8</v>
      </c>
      <c r="CK17" s="3">
        <v>9</v>
      </c>
      <c r="CL17" s="3"/>
      <c r="CM17" s="19">
        <v>9</v>
      </c>
      <c r="CN17" s="3"/>
      <c r="CO17" s="3"/>
      <c r="CP17" s="3"/>
      <c r="CT17" s="3">
        <v>9</v>
      </c>
      <c r="CU17" s="3">
        <v>9</v>
      </c>
      <c r="CV17" s="3">
        <v>9</v>
      </c>
      <c r="CW17" s="3">
        <v>9</v>
      </c>
      <c r="CX17" s="3">
        <v>3</v>
      </c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R17" s="3"/>
    </row>
    <row r="18" spans="1:142" ht="15" customHeight="1" x14ac:dyDescent="0.25">
      <c r="A18" s="6" t="s">
        <v>157</v>
      </c>
      <c r="B18" s="2" t="s">
        <v>784</v>
      </c>
      <c r="C18" s="2" t="s">
        <v>842</v>
      </c>
      <c r="D18" s="25" t="s">
        <v>786</v>
      </c>
      <c r="E18" s="4" t="s">
        <v>787</v>
      </c>
      <c r="F18" s="4" t="s">
        <v>788</v>
      </c>
      <c r="G18" s="26">
        <v>1970</v>
      </c>
      <c r="H18" s="4" t="s">
        <v>42</v>
      </c>
      <c r="I18" s="5"/>
      <c r="J18" s="4" t="s">
        <v>789</v>
      </c>
      <c r="K18" s="4" t="s">
        <v>42</v>
      </c>
      <c r="L18" s="2" t="s">
        <v>790</v>
      </c>
      <c r="M18" s="5"/>
      <c r="N18" s="2" t="s">
        <v>843</v>
      </c>
      <c r="O18" s="28" t="s">
        <v>2363</v>
      </c>
      <c r="P18" s="3">
        <v>7</v>
      </c>
      <c r="Q18" s="27">
        <v>1</v>
      </c>
      <c r="R18" s="3"/>
      <c r="S18" s="3">
        <v>2</v>
      </c>
      <c r="T18" s="3">
        <v>2</v>
      </c>
      <c r="U18" s="3">
        <v>1</v>
      </c>
      <c r="V18" s="3">
        <v>3</v>
      </c>
      <c r="W18" s="3"/>
      <c r="X18" s="3"/>
      <c r="Y18" s="3">
        <v>3</v>
      </c>
      <c r="Z18" s="3">
        <v>3</v>
      </c>
      <c r="AA18" s="3">
        <v>1</v>
      </c>
      <c r="AB18" s="3">
        <v>1</v>
      </c>
      <c r="AC18" s="3"/>
      <c r="AD18" s="3">
        <v>2</v>
      </c>
      <c r="AE18" s="3">
        <v>5</v>
      </c>
      <c r="AF18" s="3">
        <v>1</v>
      </c>
      <c r="AG18" s="3"/>
      <c r="AH18" s="3"/>
      <c r="AI18" s="3"/>
      <c r="AJ18" s="3"/>
      <c r="AK18" s="3"/>
      <c r="AL18" s="3"/>
      <c r="AM18" s="3">
        <v>1</v>
      </c>
      <c r="AN18" s="3">
        <v>1</v>
      </c>
      <c r="AO18" s="3">
        <v>5</v>
      </c>
      <c r="AP18" s="3">
        <v>3</v>
      </c>
      <c r="AQ18" s="3">
        <v>5</v>
      </c>
      <c r="AR18" s="3">
        <v>3</v>
      </c>
      <c r="AS18" s="3">
        <v>4</v>
      </c>
      <c r="AT18" s="3"/>
      <c r="AU18" s="3">
        <v>112</v>
      </c>
      <c r="AV18" s="3"/>
      <c r="AW18" s="3"/>
      <c r="AX18" s="3"/>
      <c r="AY18" s="3"/>
      <c r="AZ18" s="3"/>
      <c r="BA18" s="3"/>
      <c r="BB18" s="3">
        <v>1</v>
      </c>
      <c r="BC18" s="3"/>
      <c r="BD18" s="3"/>
      <c r="BE18" s="3"/>
      <c r="BF18" s="3"/>
      <c r="BG18" s="3"/>
      <c r="BH18" s="3">
        <v>1</v>
      </c>
      <c r="BI18" s="3">
        <v>516</v>
      </c>
      <c r="BJ18" s="3"/>
      <c r="BK18" s="3">
        <v>4</v>
      </c>
      <c r="BL18" s="3">
        <v>1</v>
      </c>
      <c r="BM18" s="3"/>
      <c r="BN18" s="3"/>
      <c r="BO18" s="3"/>
      <c r="BP18" s="3"/>
      <c r="BQ18" s="3">
        <v>1</v>
      </c>
      <c r="BR18" s="3">
        <v>1</v>
      </c>
      <c r="BS18" s="3"/>
      <c r="BT18" s="3">
        <v>9</v>
      </c>
      <c r="BU18" s="3"/>
      <c r="BV18" s="3">
        <v>1</v>
      </c>
      <c r="BW18" s="3">
        <v>9</v>
      </c>
      <c r="BX18" s="3">
        <v>9</v>
      </c>
      <c r="BY18" s="3">
        <v>1</v>
      </c>
      <c r="BZ18" s="3">
        <v>1</v>
      </c>
      <c r="CA18" s="3">
        <v>2</v>
      </c>
      <c r="CB18" s="3">
        <v>1</v>
      </c>
      <c r="CC18" s="3">
        <v>8</v>
      </c>
      <c r="CD18" s="3">
        <v>9</v>
      </c>
      <c r="CE18" s="19">
        <v>9</v>
      </c>
      <c r="CF18" s="3"/>
      <c r="CG18" s="19">
        <v>1</v>
      </c>
      <c r="CH18" s="3">
        <v>8</v>
      </c>
      <c r="CI18" s="3"/>
      <c r="CJ18" s="3">
        <v>9</v>
      </c>
      <c r="CK18" s="3">
        <v>9</v>
      </c>
      <c r="CL18" s="3">
        <v>8</v>
      </c>
      <c r="CM18" s="3">
        <v>9</v>
      </c>
      <c r="CN18" s="3">
        <v>4</v>
      </c>
      <c r="CO18" s="3">
        <v>9</v>
      </c>
      <c r="CP18" s="3">
        <v>9</v>
      </c>
      <c r="CT18" s="3">
        <v>1</v>
      </c>
      <c r="CU18" s="3">
        <v>9</v>
      </c>
      <c r="CV18" s="3">
        <v>4</v>
      </c>
      <c r="CW18" s="3">
        <v>9</v>
      </c>
      <c r="CX18" s="3">
        <v>9</v>
      </c>
      <c r="CY18" s="3"/>
      <c r="CZ18" s="3">
        <v>7</v>
      </c>
      <c r="DA18" s="3">
        <v>1</v>
      </c>
      <c r="DB18" s="3">
        <v>1</v>
      </c>
      <c r="DC18" s="3">
        <v>7</v>
      </c>
      <c r="DD18" s="3">
        <v>3</v>
      </c>
      <c r="DE18" s="3">
        <v>1</v>
      </c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R18" s="3"/>
      <c r="DS18" s="3"/>
      <c r="DT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</row>
    <row r="19" spans="1:142" ht="15" customHeight="1" x14ac:dyDescent="0.25">
      <c r="A19" s="6" t="s">
        <v>158</v>
      </c>
      <c r="B19" s="2" t="s">
        <v>784</v>
      </c>
      <c r="C19" s="2" t="s">
        <v>844</v>
      </c>
      <c r="D19" s="25" t="s">
        <v>786</v>
      </c>
      <c r="E19" s="4" t="s">
        <v>787</v>
      </c>
      <c r="F19" s="4" t="s">
        <v>845</v>
      </c>
      <c r="G19" s="29"/>
      <c r="H19" s="4" t="s">
        <v>44</v>
      </c>
      <c r="I19" s="5"/>
      <c r="J19" s="4" t="s">
        <v>789</v>
      </c>
      <c r="K19" s="4" t="s">
        <v>846</v>
      </c>
      <c r="L19" s="2" t="s">
        <v>790</v>
      </c>
      <c r="M19" s="5"/>
      <c r="N19" s="2" t="s">
        <v>847</v>
      </c>
      <c r="O19" s="28" t="s">
        <v>2364</v>
      </c>
      <c r="P19" s="3">
        <v>6</v>
      </c>
      <c r="Q19" s="27">
        <v>1</v>
      </c>
      <c r="R19" s="3"/>
      <c r="S19" s="3">
        <v>2</v>
      </c>
      <c r="T19" s="3">
        <v>2</v>
      </c>
      <c r="U19" s="3">
        <v>1</v>
      </c>
      <c r="V19" s="3">
        <v>5</v>
      </c>
      <c r="W19" s="3"/>
      <c r="X19" s="3"/>
      <c r="Y19" s="3">
        <v>6</v>
      </c>
      <c r="Z19" s="3">
        <v>3</v>
      </c>
      <c r="AA19" s="3">
        <v>1</v>
      </c>
      <c r="AB19" s="3">
        <v>1</v>
      </c>
      <c r="AC19" s="3"/>
      <c r="AD19" s="3">
        <v>1</v>
      </c>
      <c r="AE19" s="3">
        <v>5</v>
      </c>
      <c r="AF19" s="3">
        <v>1</v>
      </c>
      <c r="AG19" s="3">
        <v>0</v>
      </c>
      <c r="AH19" s="3">
        <v>0</v>
      </c>
      <c r="AI19" s="3"/>
      <c r="AJ19" s="3"/>
      <c r="AK19" s="3"/>
      <c r="AL19" s="3"/>
      <c r="AM19" s="3">
        <v>1</v>
      </c>
      <c r="AN19" s="3">
        <v>2</v>
      </c>
      <c r="AO19" s="3">
        <v>4</v>
      </c>
      <c r="AP19" s="3">
        <v>3</v>
      </c>
      <c r="AQ19" s="3">
        <v>5</v>
      </c>
      <c r="AR19" s="3">
        <v>2</v>
      </c>
      <c r="AS19" s="3">
        <v>8</v>
      </c>
      <c r="AT19" s="3"/>
      <c r="AU19" s="3">
        <v>105</v>
      </c>
      <c r="AV19" s="3"/>
      <c r="AW19" s="3"/>
      <c r="AX19" s="3"/>
      <c r="AY19" s="3"/>
      <c r="AZ19" s="3"/>
      <c r="BA19" s="3"/>
      <c r="BB19" s="3">
        <v>1</v>
      </c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>
        <v>9</v>
      </c>
      <c r="BR19" s="3">
        <v>8</v>
      </c>
      <c r="BS19" s="3">
        <v>9</v>
      </c>
      <c r="BT19" s="19">
        <v>8</v>
      </c>
      <c r="BU19" s="3">
        <v>1</v>
      </c>
      <c r="BV19" s="19">
        <v>9</v>
      </c>
      <c r="BW19" s="19">
        <v>9</v>
      </c>
      <c r="BX19" s="19">
        <v>9</v>
      </c>
      <c r="BY19" s="19">
        <v>9</v>
      </c>
      <c r="BZ19" s="19">
        <v>9</v>
      </c>
      <c r="CA19" s="19">
        <v>8</v>
      </c>
      <c r="CB19" s="19">
        <v>9</v>
      </c>
      <c r="CC19" s="19">
        <v>1</v>
      </c>
      <c r="CD19" s="3">
        <v>1</v>
      </c>
      <c r="CE19" s="19">
        <v>9</v>
      </c>
      <c r="CF19" s="3">
        <v>1</v>
      </c>
      <c r="CG19" s="19">
        <v>9</v>
      </c>
      <c r="CH19" s="3">
        <v>1</v>
      </c>
      <c r="CI19" s="3">
        <v>1</v>
      </c>
      <c r="CJ19" s="3">
        <v>9</v>
      </c>
      <c r="CK19" s="3">
        <v>1</v>
      </c>
      <c r="CL19" s="3">
        <v>1</v>
      </c>
      <c r="CM19" s="3"/>
      <c r="CN19" s="3"/>
      <c r="CO19" s="3"/>
      <c r="CP19" s="3"/>
      <c r="CT19" s="3">
        <v>9</v>
      </c>
      <c r="CU19" s="3">
        <v>9</v>
      </c>
      <c r="CV19" s="3">
        <v>5</v>
      </c>
      <c r="CW19" s="3">
        <v>9</v>
      </c>
      <c r="CX19" s="3">
        <v>9</v>
      </c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R19" s="3"/>
    </row>
    <row r="20" spans="1:142" ht="15" customHeight="1" x14ac:dyDescent="0.25">
      <c r="A20" s="6" t="s">
        <v>159</v>
      </c>
      <c r="B20" s="2" t="s">
        <v>784</v>
      </c>
      <c r="C20" s="2" t="s">
        <v>848</v>
      </c>
      <c r="D20" s="25" t="s">
        <v>786</v>
      </c>
      <c r="E20" s="4" t="s">
        <v>787</v>
      </c>
      <c r="F20" s="4" t="s">
        <v>788</v>
      </c>
      <c r="G20" s="26">
        <v>1914</v>
      </c>
      <c r="H20" s="4" t="s">
        <v>47</v>
      </c>
      <c r="I20" s="5"/>
      <c r="J20" s="4" t="s">
        <v>789</v>
      </c>
      <c r="K20" s="4" t="s">
        <v>849</v>
      </c>
      <c r="L20" s="2" t="s">
        <v>802</v>
      </c>
      <c r="M20" s="5"/>
      <c r="N20" s="2" t="s">
        <v>850</v>
      </c>
      <c r="O20" s="28" t="s">
        <v>2365</v>
      </c>
      <c r="P20" s="3">
        <v>7</v>
      </c>
      <c r="Q20" s="27">
        <v>2</v>
      </c>
      <c r="R20" s="3"/>
      <c r="S20" s="3">
        <v>2</v>
      </c>
      <c r="T20" s="3">
        <v>2</v>
      </c>
      <c r="U20" s="3">
        <v>1</v>
      </c>
      <c r="V20" s="3">
        <v>5</v>
      </c>
      <c r="W20" s="3"/>
      <c r="X20" s="3"/>
      <c r="Y20" s="3">
        <v>3</v>
      </c>
      <c r="Z20" s="3">
        <v>3</v>
      </c>
      <c r="AA20" s="3">
        <v>1</v>
      </c>
      <c r="AB20" s="3">
        <v>1</v>
      </c>
      <c r="AC20" s="3"/>
      <c r="AD20" s="3">
        <v>2</v>
      </c>
      <c r="AE20" s="3">
        <v>3</v>
      </c>
      <c r="AF20" s="3">
        <v>1</v>
      </c>
      <c r="AG20" s="3"/>
      <c r="AH20" s="3"/>
      <c r="AI20" s="3"/>
      <c r="AJ20" s="3"/>
      <c r="AK20" s="3"/>
      <c r="AL20" s="3"/>
      <c r="AM20" s="3">
        <v>1</v>
      </c>
      <c r="AN20" s="3">
        <v>2</v>
      </c>
      <c r="AO20" s="3">
        <v>5</v>
      </c>
      <c r="AP20" s="3">
        <v>3</v>
      </c>
      <c r="AQ20" s="3">
        <v>5</v>
      </c>
      <c r="AR20" s="3">
        <v>3</v>
      </c>
      <c r="AS20" s="3">
        <v>7</v>
      </c>
      <c r="AT20" s="3"/>
      <c r="AU20" s="3"/>
      <c r="AV20" s="3"/>
      <c r="AW20" s="3"/>
      <c r="AX20" s="3"/>
      <c r="AY20" s="3"/>
      <c r="AZ20" s="3"/>
      <c r="BA20" s="3"/>
      <c r="BB20" s="3">
        <v>1</v>
      </c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>
        <v>9</v>
      </c>
      <c r="BR20" s="3">
        <v>7</v>
      </c>
      <c r="BS20" s="3">
        <v>9</v>
      </c>
      <c r="BT20" s="3"/>
      <c r="BU20" s="3">
        <v>9</v>
      </c>
      <c r="BV20" s="19">
        <v>9</v>
      </c>
      <c r="BW20" s="19">
        <v>9</v>
      </c>
      <c r="BX20" s="19">
        <v>9</v>
      </c>
      <c r="BY20" s="19">
        <v>9</v>
      </c>
      <c r="BZ20" s="19">
        <v>9</v>
      </c>
      <c r="CA20" s="19">
        <v>7</v>
      </c>
      <c r="CB20" s="19">
        <v>9</v>
      </c>
      <c r="CC20" s="19">
        <v>9</v>
      </c>
      <c r="CD20" s="3">
        <v>7</v>
      </c>
      <c r="CE20" s="3"/>
      <c r="CF20" s="3">
        <v>9</v>
      </c>
      <c r="CG20" s="19">
        <v>9</v>
      </c>
      <c r="CH20" s="3">
        <v>8</v>
      </c>
      <c r="CI20" s="3">
        <v>9</v>
      </c>
      <c r="CJ20" s="3">
        <v>9</v>
      </c>
      <c r="CK20" s="3">
        <v>8</v>
      </c>
      <c r="CL20" s="3">
        <v>9</v>
      </c>
      <c r="CM20" s="19">
        <v>9</v>
      </c>
      <c r="CN20" s="3"/>
      <c r="CO20" s="3"/>
      <c r="CP20" s="3"/>
      <c r="CT20" s="3">
        <v>9</v>
      </c>
      <c r="CU20" s="3">
        <v>9</v>
      </c>
      <c r="CV20" s="3">
        <v>9</v>
      </c>
      <c r="CW20" s="3">
        <v>9</v>
      </c>
      <c r="CX20" s="3">
        <v>3</v>
      </c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R20" s="3"/>
    </row>
    <row r="21" spans="1:142" ht="15" customHeight="1" x14ac:dyDescent="0.25">
      <c r="A21" s="6" t="s">
        <v>160</v>
      </c>
      <c r="B21" s="2" t="s">
        <v>784</v>
      </c>
      <c r="C21" s="2" t="s">
        <v>851</v>
      </c>
      <c r="D21" s="25" t="s">
        <v>786</v>
      </c>
      <c r="E21" s="4" t="s">
        <v>787</v>
      </c>
      <c r="F21" s="4" t="s">
        <v>788</v>
      </c>
      <c r="G21" s="26">
        <v>1972</v>
      </c>
      <c r="H21" s="4" t="s">
        <v>48</v>
      </c>
      <c r="I21" s="5"/>
      <c r="J21" s="4" t="s">
        <v>789</v>
      </c>
      <c r="K21" s="4" t="s">
        <v>48</v>
      </c>
      <c r="L21" s="2" t="s">
        <v>790</v>
      </c>
      <c r="M21" s="5"/>
      <c r="N21" s="2" t="s">
        <v>852</v>
      </c>
      <c r="O21" s="28" t="s">
        <v>2366</v>
      </c>
      <c r="P21" s="3">
        <v>7</v>
      </c>
      <c r="Q21" s="27">
        <v>1</v>
      </c>
      <c r="R21" s="3"/>
      <c r="S21" s="3">
        <v>2</v>
      </c>
      <c r="T21" s="3">
        <v>2</v>
      </c>
      <c r="U21" s="3">
        <v>1</v>
      </c>
      <c r="V21" s="3">
        <v>3</v>
      </c>
      <c r="W21" s="3"/>
      <c r="X21" s="3"/>
      <c r="Y21" s="3">
        <v>3</v>
      </c>
      <c r="Z21" s="3">
        <v>2</v>
      </c>
      <c r="AA21" s="3">
        <v>1</v>
      </c>
      <c r="AB21" s="3">
        <v>1</v>
      </c>
      <c r="AC21" s="3"/>
      <c r="AD21" s="3">
        <v>2</v>
      </c>
      <c r="AE21" s="3">
        <v>4</v>
      </c>
      <c r="AF21" s="3">
        <v>1</v>
      </c>
      <c r="AG21" s="3"/>
      <c r="AH21" s="3"/>
      <c r="AI21" s="3"/>
      <c r="AJ21" s="3"/>
      <c r="AK21" s="3"/>
      <c r="AL21" s="3"/>
      <c r="AM21" s="3">
        <v>1</v>
      </c>
      <c r="AN21" s="3">
        <v>1</v>
      </c>
      <c r="AO21" s="3">
        <v>7</v>
      </c>
      <c r="AP21" s="3">
        <v>3</v>
      </c>
      <c r="AQ21" s="3">
        <v>4</v>
      </c>
      <c r="AR21" s="3">
        <v>3</v>
      </c>
      <c r="AS21" s="3">
        <v>4</v>
      </c>
      <c r="AT21" s="3"/>
      <c r="AU21" s="3">
        <v>116</v>
      </c>
      <c r="AV21" s="3"/>
      <c r="AW21" s="3"/>
      <c r="AX21" s="3"/>
      <c r="AY21" s="3"/>
      <c r="AZ21" s="3"/>
      <c r="BA21" s="3"/>
      <c r="BB21" s="3">
        <v>1</v>
      </c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>
        <v>1</v>
      </c>
      <c r="BU21" s="3">
        <v>9</v>
      </c>
      <c r="BV21" s="3">
        <v>1</v>
      </c>
      <c r="BW21" s="3">
        <v>9</v>
      </c>
      <c r="BX21" s="3">
        <v>9</v>
      </c>
      <c r="BY21" s="3">
        <v>1</v>
      </c>
      <c r="BZ21" s="3">
        <v>1</v>
      </c>
      <c r="CA21" s="3">
        <v>9</v>
      </c>
      <c r="CB21" s="3">
        <v>1</v>
      </c>
      <c r="CC21" s="3">
        <v>9</v>
      </c>
      <c r="CD21" s="3">
        <v>9</v>
      </c>
      <c r="CE21" s="19">
        <v>1</v>
      </c>
      <c r="CF21" s="3">
        <v>3</v>
      </c>
      <c r="CG21" s="19">
        <v>1</v>
      </c>
      <c r="CH21" s="3">
        <v>9</v>
      </c>
      <c r="CI21" s="3">
        <v>9</v>
      </c>
      <c r="CJ21" s="3">
        <v>3</v>
      </c>
      <c r="CK21" s="3">
        <v>5</v>
      </c>
      <c r="CL21" s="3">
        <v>5</v>
      </c>
      <c r="CM21" s="3"/>
      <c r="CN21" s="3"/>
      <c r="CO21" s="3"/>
      <c r="CP21" s="3"/>
      <c r="CT21" s="3">
        <v>9</v>
      </c>
      <c r="CU21" s="3">
        <v>9</v>
      </c>
      <c r="CV21" s="3">
        <v>3</v>
      </c>
      <c r="CW21" s="3">
        <v>1</v>
      </c>
      <c r="CX21" s="3">
        <v>9</v>
      </c>
      <c r="CY21" s="3"/>
      <c r="CZ21" s="3">
        <v>7</v>
      </c>
      <c r="DA21" s="3">
        <v>1</v>
      </c>
      <c r="DB21" s="3">
        <v>1</v>
      </c>
      <c r="DC21" s="3">
        <v>7</v>
      </c>
      <c r="DD21" s="3">
        <v>3</v>
      </c>
      <c r="DE21" s="3">
        <v>1</v>
      </c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R21" s="3"/>
    </row>
    <row r="22" spans="1:142" ht="15" customHeight="1" x14ac:dyDescent="0.25">
      <c r="A22" s="6" t="s">
        <v>161</v>
      </c>
      <c r="B22" s="2" t="s">
        <v>784</v>
      </c>
      <c r="C22" s="2" t="s">
        <v>853</v>
      </c>
      <c r="D22" s="25" t="s">
        <v>786</v>
      </c>
      <c r="E22" s="4" t="s">
        <v>787</v>
      </c>
      <c r="F22" s="4" t="s">
        <v>854</v>
      </c>
      <c r="G22" s="29"/>
      <c r="H22" s="4" t="s">
        <v>50</v>
      </c>
      <c r="I22" s="5"/>
      <c r="J22" s="4" t="s">
        <v>789</v>
      </c>
      <c r="M22" s="4" t="s">
        <v>855</v>
      </c>
      <c r="N22" s="2" t="s">
        <v>856</v>
      </c>
      <c r="O22" s="28" t="s">
        <v>2367</v>
      </c>
      <c r="P22" s="3">
        <v>7</v>
      </c>
      <c r="Q22" s="27">
        <v>2</v>
      </c>
      <c r="R22" s="3"/>
      <c r="S22" s="3">
        <v>2</v>
      </c>
      <c r="T22" s="3"/>
      <c r="U22" s="3">
        <v>1</v>
      </c>
      <c r="V22" s="3">
        <v>5</v>
      </c>
      <c r="W22" s="3"/>
      <c r="X22" s="3"/>
      <c r="Y22" s="3">
        <v>3</v>
      </c>
      <c r="Z22" s="3">
        <v>2</v>
      </c>
      <c r="AA22" s="3">
        <v>1</v>
      </c>
      <c r="AB22" s="3">
        <v>1</v>
      </c>
      <c r="AC22" s="3"/>
      <c r="AD22" s="3">
        <v>2</v>
      </c>
      <c r="AE22" s="3">
        <v>4</v>
      </c>
      <c r="AF22" s="3">
        <v>1</v>
      </c>
      <c r="AG22" s="3"/>
      <c r="AH22" s="3"/>
      <c r="AI22" s="3"/>
      <c r="AJ22" s="3"/>
      <c r="AK22" s="3"/>
      <c r="AL22" s="3"/>
      <c r="AM22" s="3">
        <v>1</v>
      </c>
      <c r="AN22" s="3">
        <v>2</v>
      </c>
      <c r="AO22" s="3">
        <v>4</v>
      </c>
      <c r="AP22" s="3">
        <v>4</v>
      </c>
      <c r="AQ22" s="3">
        <v>5</v>
      </c>
      <c r="AR22" s="3">
        <v>3</v>
      </c>
      <c r="AS22" s="3">
        <v>8</v>
      </c>
      <c r="AT22" s="3"/>
      <c r="AU22" s="3"/>
      <c r="AV22" s="3"/>
      <c r="AW22" s="3"/>
      <c r="AX22" s="3"/>
      <c r="AY22" s="3"/>
      <c r="AZ22" s="3"/>
      <c r="BA22" s="3">
        <v>1</v>
      </c>
      <c r="BB22" s="3">
        <v>1</v>
      </c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>
        <v>4</v>
      </c>
      <c r="BO22" s="3"/>
      <c r="BP22" s="3"/>
      <c r="BQ22" s="3"/>
      <c r="BR22" s="3">
        <v>9</v>
      </c>
      <c r="BS22" s="3">
        <v>1</v>
      </c>
      <c r="BT22" s="3">
        <v>1</v>
      </c>
      <c r="BU22" s="3">
        <v>7</v>
      </c>
      <c r="BV22" s="3">
        <v>1</v>
      </c>
      <c r="BW22" s="3">
        <v>9</v>
      </c>
      <c r="BX22" s="3">
        <v>8</v>
      </c>
      <c r="BY22" s="3">
        <v>2</v>
      </c>
      <c r="BZ22" s="3">
        <v>1</v>
      </c>
      <c r="CA22" s="3">
        <v>9</v>
      </c>
      <c r="CB22" s="3">
        <v>9</v>
      </c>
      <c r="CC22" s="3">
        <v>9</v>
      </c>
      <c r="CD22" s="3">
        <v>9</v>
      </c>
      <c r="CE22" s="19">
        <v>8</v>
      </c>
      <c r="CF22" s="3">
        <v>1</v>
      </c>
      <c r="CG22" s="19">
        <v>9</v>
      </c>
      <c r="CH22" s="3">
        <v>9</v>
      </c>
      <c r="CI22" s="3">
        <v>9</v>
      </c>
      <c r="CJ22" s="3">
        <v>1</v>
      </c>
      <c r="CK22" s="3">
        <v>9</v>
      </c>
      <c r="CL22" s="3">
        <v>1</v>
      </c>
      <c r="CM22" s="3"/>
      <c r="CN22" s="3"/>
      <c r="CO22" s="3"/>
      <c r="CP22" s="3"/>
      <c r="CT22" s="3">
        <v>9</v>
      </c>
      <c r="CU22" s="3">
        <v>9</v>
      </c>
      <c r="CV22" s="3">
        <v>5</v>
      </c>
      <c r="CW22" s="3">
        <v>1</v>
      </c>
      <c r="CX22" s="3">
        <v>7</v>
      </c>
      <c r="CY22" s="3"/>
      <c r="CZ22" s="3">
        <v>1</v>
      </c>
      <c r="DA22" s="3">
        <v>1</v>
      </c>
      <c r="DB22" s="3">
        <v>1</v>
      </c>
      <c r="DC22" s="3">
        <v>1</v>
      </c>
      <c r="DD22" s="3">
        <v>1</v>
      </c>
      <c r="DE22" s="3">
        <v>1</v>
      </c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R22" s="3"/>
    </row>
    <row r="23" spans="1:142" ht="15" customHeight="1" x14ac:dyDescent="0.25">
      <c r="A23" s="6" t="s">
        <v>162</v>
      </c>
      <c r="B23" s="2" t="s">
        <v>784</v>
      </c>
      <c r="C23" s="2" t="s">
        <v>857</v>
      </c>
      <c r="D23" s="25" t="s">
        <v>786</v>
      </c>
      <c r="E23" s="4" t="s">
        <v>858</v>
      </c>
      <c r="F23" s="4" t="s">
        <v>859</v>
      </c>
      <c r="G23" s="29"/>
      <c r="H23" s="4" t="s">
        <v>53</v>
      </c>
      <c r="I23" s="5"/>
      <c r="J23" s="4" t="s">
        <v>789</v>
      </c>
      <c r="L23" s="2" t="s">
        <v>790</v>
      </c>
      <c r="M23" s="5"/>
      <c r="N23" s="2" t="s">
        <v>860</v>
      </c>
      <c r="O23" s="28" t="s">
        <v>2368</v>
      </c>
      <c r="P23" s="3">
        <v>6</v>
      </c>
      <c r="Q23" s="27">
        <v>1</v>
      </c>
      <c r="R23" s="3"/>
      <c r="S23" s="3">
        <v>2</v>
      </c>
      <c r="T23" s="3"/>
      <c r="U23" s="3">
        <v>1</v>
      </c>
      <c r="V23" s="3">
        <v>4</v>
      </c>
      <c r="W23" s="3"/>
      <c r="X23" s="3"/>
      <c r="Y23" s="3">
        <v>4</v>
      </c>
      <c r="Z23" s="3">
        <v>2</v>
      </c>
      <c r="AA23" s="3">
        <v>1</v>
      </c>
      <c r="AB23" s="3">
        <v>1</v>
      </c>
      <c r="AC23" s="3"/>
      <c r="AD23" s="3">
        <v>2</v>
      </c>
      <c r="AE23" s="3">
        <v>4</v>
      </c>
      <c r="AF23" s="3">
        <v>1</v>
      </c>
      <c r="AG23" s="3">
        <v>0</v>
      </c>
      <c r="AH23" s="3">
        <v>0</v>
      </c>
      <c r="AI23" s="3"/>
      <c r="AJ23" s="3"/>
      <c r="AK23" s="3"/>
      <c r="AL23" s="3"/>
      <c r="AM23" s="3">
        <v>1</v>
      </c>
      <c r="AN23" s="3">
        <v>3</v>
      </c>
      <c r="AO23" s="3">
        <v>5</v>
      </c>
      <c r="AP23" s="3">
        <v>3</v>
      </c>
      <c r="AQ23" s="3">
        <v>6</v>
      </c>
      <c r="AR23" s="3">
        <v>3</v>
      </c>
      <c r="AS23" s="3">
        <v>6</v>
      </c>
      <c r="AT23" s="3"/>
      <c r="AU23" s="3">
        <v>109</v>
      </c>
      <c r="AV23" s="3"/>
      <c r="AW23" s="3"/>
      <c r="AX23" s="3"/>
      <c r="AY23" s="3"/>
      <c r="AZ23" s="3"/>
      <c r="BA23" s="3"/>
      <c r="BB23" s="3">
        <v>1</v>
      </c>
      <c r="BC23" s="3">
        <v>115</v>
      </c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>
        <v>1</v>
      </c>
      <c r="BR23" s="3">
        <v>1</v>
      </c>
      <c r="BS23" s="3">
        <v>1</v>
      </c>
      <c r="BT23" s="3">
        <v>1</v>
      </c>
      <c r="BU23" s="3">
        <v>1</v>
      </c>
      <c r="BV23" s="3">
        <v>9</v>
      </c>
      <c r="BW23" s="3">
        <v>1</v>
      </c>
      <c r="BX23" s="3">
        <v>1</v>
      </c>
      <c r="BY23" s="3">
        <v>1</v>
      </c>
      <c r="BZ23" s="3">
        <v>1</v>
      </c>
      <c r="CA23" s="3">
        <v>1</v>
      </c>
      <c r="CB23" s="3">
        <v>9</v>
      </c>
      <c r="CC23" s="3">
        <v>9</v>
      </c>
      <c r="CD23" s="3">
        <v>9</v>
      </c>
      <c r="CE23" s="19">
        <v>1</v>
      </c>
      <c r="CF23" s="3">
        <v>8</v>
      </c>
      <c r="CG23" s="3"/>
      <c r="CH23" s="3">
        <v>9</v>
      </c>
      <c r="CI23" s="3">
        <v>9</v>
      </c>
      <c r="CJ23" s="3">
        <v>9</v>
      </c>
      <c r="CK23" s="3">
        <v>9</v>
      </c>
      <c r="CL23" s="3">
        <v>9</v>
      </c>
      <c r="CM23" s="3"/>
      <c r="CN23" s="3"/>
      <c r="CO23" s="3"/>
      <c r="CP23" s="3"/>
      <c r="CT23" s="3"/>
      <c r="CU23" s="3">
        <v>1</v>
      </c>
      <c r="CV23" s="3">
        <v>9</v>
      </c>
      <c r="CW23" s="3">
        <v>9</v>
      </c>
      <c r="CX23" s="3">
        <v>1</v>
      </c>
      <c r="CY23" s="3"/>
      <c r="CZ23" s="3">
        <v>1</v>
      </c>
      <c r="DA23" s="3">
        <v>1</v>
      </c>
      <c r="DB23" s="3">
        <v>1</v>
      </c>
      <c r="DC23" s="3">
        <v>1</v>
      </c>
      <c r="DD23" s="3">
        <v>1</v>
      </c>
      <c r="DE23" s="3">
        <v>1</v>
      </c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R23" s="3"/>
    </row>
    <row r="24" spans="1:142" ht="15" customHeight="1" x14ac:dyDescent="0.25">
      <c r="A24" s="6" t="s">
        <v>163</v>
      </c>
      <c r="B24" s="2" t="s">
        <v>784</v>
      </c>
      <c r="C24" s="2" t="s">
        <v>861</v>
      </c>
      <c r="D24" s="25" t="s">
        <v>786</v>
      </c>
      <c r="E24" s="4" t="s">
        <v>858</v>
      </c>
      <c r="F24" s="4" t="s">
        <v>859</v>
      </c>
      <c r="G24" s="29"/>
      <c r="H24" s="4" t="s">
        <v>54</v>
      </c>
      <c r="I24" s="5"/>
      <c r="J24" s="4" t="s">
        <v>789</v>
      </c>
      <c r="K24" s="4" t="s">
        <v>11</v>
      </c>
      <c r="L24" s="2" t="s">
        <v>802</v>
      </c>
      <c r="M24" s="5"/>
      <c r="N24" s="2" t="s">
        <v>862</v>
      </c>
      <c r="O24" s="28" t="s">
        <v>2369</v>
      </c>
      <c r="P24" s="3">
        <v>7</v>
      </c>
      <c r="Q24" s="27">
        <v>1</v>
      </c>
      <c r="R24" s="3"/>
      <c r="S24" s="3">
        <v>2</v>
      </c>
      <c r="T24" s="3"/>
      <c r="U24" s="3">
        <v>1</v>
      </c>
      <c r="V24" s="3">
        <v>4</v>
      </c>
      <c r="W24" s="3"/>
      <c r="X24" s="3"/>
      <c r="Y24" s="3">
        <v>3</v>
      </c>
      <c r="Z24" s="3">
        <v>3</v>
      </c>
      <c r="AA24" s="3">
        <v>1</v>
      </c>
      <c r="AB24" s="3">
        <v>1</v>
      </c>
      <c r="AC24" s="3"/>
      <c r="AD24" s="3">
        <v>2</v>
      </c>
      <c r="AE24" s="3">
        <v>3</v>
      </c>
      <c r="AF24" s="3">
        <v>1</v>
      </c>
      <c r="AG24" s="3">
        <v>0</v>
      </c>
      <c r="AH24" s="3">
        <v>0</v>
      </c>
      <c r="AI24" s="3"/>
      <c r="AJ24" s="3"/>
      <c r="AK24" s="3"/>
      <c r="AL24" s="3"/>
      <c r="AM24" s="3">
        <v>1</v>
      </c>
      <c r="AN24" s="3">
        <v>1</v>
      </c>
      <c r="AO24" s="3">
        <v>5</v>
      </c>
      <c r="AP24" s="3">
        <v>3</v>
      </c>
      <c r="AQ24" s="3">
        <v>5</v>
      </c>
      <c r="AR24" s="3">
        <v>3</v>
      </c>
      <c r="AS24" s="3">
        <v>5</v>
      </c>
      <c r="AT24" s="3"/>
      <c r="AU24" s="3"/>
      <c r="AV24" s="3"/>
      <c r="AW24" s="3"/>
      <c r="AX24" s="3"/>
      <c r="AY24" s="3"/>
      <c r="AZ24" s="3"/>
      <c r="BA24" s="3">
        <v>1</v>
      </c>
      <c r="BB24" s="3">
        <v>1</v>
      </c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>
        <v>1</v>
      </c>
      <c r="BS24" s="3">
        <v>1</v>
      </c>
      <c r="BT24" s="3">
        <v>1</v>
      </c>
      <c r="BU24" s="3">
        <v>1</v>
      </c>
      <c r="BV24" s="3">
        <v>9</v>
      </c>
      <c r="BW24" s="3"/>
      <c r="BX24" s="3">
        <v>1</v>
      </c>
      <c r="BY24" s="3">
        <v>2</v>
      </c>
      <c r="BZ24" s="3">
        <v>1</v>
      </c>
      <c r="CA24" s="3">
        <v>1</v>
      </c>
      <c r="CB24" s="3">
        <v>9</v>
      </c>
      <c r="CC24" s="3">
        <v>9</v>
      </c>
      <c r="CD24" s="3">
        <v>9</v>
      </c>
      <c r="CE24" s="19">
        <v>1</v>
      </c>
      <c r="CF24" s="3">
        <v>8</v>
      </c>
      <c r="CG24" s="19">
        <v>1</v>
      </c>
      <c r="CH24" s="3">
        <v>9</v>
      </c>
      <c r="CI24" s="3">
        <v>9</v>
      </c>
      <c r="CJ24" s="3">
        <v>9</v>
      </c>
      <c r="CK24" s="3">
        <v>9</v>
      </c>
      <c r="CL24" s="3">
        <v>9</v>
      </c>
      <c r="CM24" s="3"/>
      <c r="CN24" s="3"/>
      <c r="CO24" s="3"/>
      <c r="CP24" s="3"/>
      <c r="CT24" s="3">
        <v>1</v>
      </c>
      <c r="CU24" s="3">
        <v>9</v>
      </c>
      <c r="CV24" s="3">
        <v>8</v>
      </c>
      <c r="CW24" s="3">
        <v>9</v>
      </c>
      <c r="CX24" s="3">
        <v>1</v>
      </c>
      <c r="CY24" s="3"/>
      <c r="CZ24" s="3">
        <v>1</v>
      </c>
      <c r="DA24" s="3">
        <v>1</v>
      </c>
      <c r="DB24" s="3">
        <v>1</v>
      </c>
      <c r="DC24" s="3">
        <v>1</v>
      </c>
      <c r="DD24" s="3">
        <v>1</v>
      </c>
      <c r="DE24" s="3">
        <v>9</v>
      </c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19">
        <v>9</v>
      </c>
      <c r="DR24" s="3"/>
    </row>
    <row r="25" spans="1:142" ht="15" customHeight="1" x14ac:dyDescent="0.25">
      <c r="A25" s="6" t="s">
        <v>164</v>
      </c>
      <c r="B25" s="2" t="s">
        <v>784</v>
      </c>
      <c r="C25" s="2" t="s">
        <v>863</v>
      </c>
      <c r="D25" s="25" t="s">
        <v>786</v>
      </c>
      <c r="E25" s="4" t="s">
        <v>787</v>
      </c>
      <c r="F25" s="4" t="s">
        <v>809</v>
      </c>
      <c r="G25" s="29"/>
      <c r="H25" s="4" t="s">
        <v>56</v>
      </c>
      <c r="I25" s="4" t="s">
        <v>864</v>
      </c>
      <c r="J25" s="4" t="s">
        <v>789</v>
      </c>
      <c r="K25" s="4" t="s">
        <v>56</v>
      </c>
      <c r="M25" s="5"/>
      <c r="N25" s="2" t="s">
        <v>865</v>
      </c>
      <c r="O25" s="28" t="s">
        <v>2370</v>
      </c>
      <c r="P25" s="3">
        <v>7</v>
      </c>
      <c r="Q25" s="27">
        <v>1</v>
      </c>
      <c r="R25" s="3"/>
      <c r="S25" s="3">
        <v>2</v>
      </c>
      <c r="T25" s="3"/>
      <c r="U25" s="3">
        <v>1</v>
      </c>
      <c r="V25" s="3">
        <v>5</v>
      </c>
      <c r="W25" s="3"/>
      <c r="X25" s="3"/>
      <c r="Y25" s="3">
        <v>4</v>
      </c>
      <c r="Z25" s="3">
        <v>2</v>
      </c>
      <c r="AA25" s="3">
        <v>1</v>
      </c>
      <c r="AB25" s="3">
        <v>1</v>
      </c>
      <c r="AC25" s="3"/>
      <c r="AD25" s="3">
        <v>1</v>
      </c>
      <c r="AE25" s="3">
        <v>7</v>
      </c>
      <c r="AF25" s="3">
        <v>1</v>
      </c>
      <c r="AG25" s="3">
        <v>0</v>
      </c>
      <c r="AH25" s="3">
        <v>0</v>
      </c>
      <c r="AI25" s="3"/>
      <c r="AJ25" s="3"/>
      <c r="AK25" s="3"/>
      <c r="AL25" s="3"/>
      <c r="AM25" s="3">
        <v>3</v>
      </c>
      <c r="AN25" s="3">
        <v>3</v>
      </c>
      <c r="AO25" s="3">
        <v>4</v>
      </c>
      <c r="AP25" s="3">
        <v>3</v>
      </c>
      <c r="AQ25" s="3">
        <v>6</v>
      </c>
      <c r="AR25" s="3">
        <v>3</v>
      </c>
      <c r="AS25" s="3">
        <v>7</v>
      </c>
      <c r="AT25" s="3"/>
      <c r="AU25" s="3"/>
      <c r="AV25" s="3"/>
      <c r="AW25" s="3"/>
      <c r="AX25" s="3"/>
      <c r="AY25" s="3"/>
      <c r="AZ25" s="3"/>
      <c r="BA25" s="3"/>
      <c r="BB25" s="3">
        <v>1</v>
      </c>
      <c r="BC25" s="3">
        <v>111</v>
      </c>
      <c r="BD25" s="3"/>
      <c r="BE25" s="3"/>
      <c r="BF25" s="3"/>
      <c r="BG25" s="3">
        <v>9</v>
      </c>
      <c r="BH25" s="3"/>
      <c r="BI25" s="3"/>
      <c r="BJ25" s="3"/>
      <c r="BK25" s="3"/>
      <c r="BL25" s="3"/>
      <c r="BM25" s="3"/>
      <c r="BN25" s="3">
        <v>4</v>
      </c>
      <c r="BO25" s="3"/>
      <c r="BP25" s="3"/>
      <c r="BQ25" s="3"/>
      <c r="BR25" s="3">
        <v>9</v>
      </c>
      <c r="BS25" s="3">
        <v>9</v>
      </c>
      <c r="BT25" s="19">
        <v>5</v>
      </c>
      <c r="BU25" s="3">
        <v>7</v>
      </c>
      <c r="BV25" s="19">
        <v>9</v>
      </c>
      <c r="BW25" s="19">
        <v>7</v>
      </c>
      <c r="BX25" s="19">
        <v>7</v>
      </c>
      <c r="BY25" s="19">
        <v>9</v>
      </c>
      <c r="BZ25" s="19">
        <v>7</v>
      </c>
      <c r="CA25" s="19">
        <v>9</v>
      </c>
      <c r="CB25" s="19">
        <v>9</v>
      </c>
      <c r="CC25" s="19">
        <v>9</v>
      </c>
      <c r="CD25" s="3">
        <v>7</v>
      </c>
      <c r="CE25" s="3"/>
      <c r="CF25" s="3">
        <v>9</v>
      </c>
      <c r="CG25" s="3"/>
      <c r="CH25" s="3">
        <v>9</v>
      </c>
      <c r="CI25" s="3">
        <v>9</v>
      </c>
      <c r="CJ25" s="3">
        <v>9</v>
      </c>
      <c r="CK25" s="3">
        <v>9</v>
      </c>
      <c r="CL25" s="3">
        <v>9</v>
      </c>
      <c r="CM25" s="3"/>
      <c r="CN25" s="3"/>
      <c r="CO25" s="3"/>
      <c r="CP25" s="3"/>
      <c r="CT25" s="3">
        <v>9</v>
      </c>
      <c r="CU25" s="3">
        <v>9</v>
      </c>
      <c r="CV25" s="3">
        <v>9</v>
      </c>
      <c r="CW25" s="3">
        <v>9</v>
      </c>
      <c r="CX25" s="3">
        <v>5</v>
      </c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>
        <v>9</v>
      </c>
      <c r="DR25" s="3"/>
    </row>
    <row r="26" spans="1:142" ht="15" customHeight="1" x14ac:dyDescent="0.25">
      <c r="A26" s="6" t="s">
        <v>165</v>
      </c>
      <c r="B26" s="2" t="s">
        <v>784</v>
      </c>
      <c r="C26" s="2" t="s">
        <v>866</v>
      </c>
      <c r="D26" s="25" t="s">
        <v>786</v>
      </c>
      <c r="E26" s="4" t="s">
        <v>787</v>
      </c>
      <c r="F26" s="4" t="s">
        <v>793</v>
      </c>
      <c r="G26" s="26">
        <v>1854</v>
      </c>
      <c r="H26" s="4" t="s">
        <v>58</v>
      </c>
      <c r="I26" s="5"/>
      <c r="J26" s="4" t="s">
        <v>789</v>
      </c>
      <c r="K26" s="4" t="s">
        <v>58</v>
      </c>
      <c r="M26" s="5"/>
      <c r="N26" s="2" t="s">
        <v>867</v>
      </c>
      <c r="O26" s="28" t="s">
        <v>2371</v>
      </c>
      <c r="P26" s="3">
        <v>7</v>
      </c>
      <c r="Q26" s="27">
        <v>1</v>
      </c>
      <c r="R26" s="3"/>
      <c r="S26" s="3">
        <v>2</v>
      </c>
      <c r="T26" s="3"/>
      <c r="U26" s="3">
        <v>1</v>
      </c>
      <c r="V26" s="3">
        <v>5</v>
      </c>
      <c r="W26" s="3"/>
      <c r="X26" s="3"/>
      <c r="Y26" s="3">
        <v>4</v>
      </c>
      <c r="Z26" s="3">
        <v>2</v>
      </c>
      <c r="AA26" s="3">
        <v>1</v>
      </c>
      <c r="AB26" s="3">
        <v>1</v>
      </c>
      <c r="AC26" s="3"/>
      <c r="AD26" s="3">
        <v>2</v>
      </c>
      <c r="AE26" s="3">
        <v>4</v>
      </c>
      <c r="AF26" s="3">
        <v>1</v>
      </c>
      <c r="AG26" s="3"/>
      <c r="AH26" s="3"/>
      <c r="AI26" s="3"/>
      <c r="AJ26" s="3"/>
      <c r="AK26" s="3"/>
      <c r="AL26" s="3"/>
      <c r="AM26" s="3">
        <v>1</v>
      </c>
      <c r="AN26" s="3">
        <v>2</v>
      </c>
      <c r="AO26" s="3">
        <v>5</v>
      </c>
      <c r="AP26" s="3">
        <v>3</v>
      </c>
      <c r="AQ26" s="3">
        <v>6</v>
      </c>
      <c r="AR26" s="3">
        <v>3</v>
      </c>
      <c r="AS26" s="3">
        <v>6</v>
      </c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>
        <v>9</v>
      </c>
      <c r="BR26" s="3">
        <v>9</v>
      </c>
      <c r="BS26" s="3">
        <v>9</v>
      </c>
      <c r="BT26" s="19">
        <v>9</v>
      </c>
      <c r="BU26" s="3">
        <v>7</v>
      </c>
      <c r="BV26" s="19">
        <v>9</v>
      </c>
      <c r="BW26" s="19">
        <v>9</v>
      </c>
      <c r="BX26" s="19">
        <v>9</v>
      </c>
      <c r="BY26" s="3"/>
      <c r="BZ26" s="19">
        <v>9</v>
      </c>
      <c r="CA26" s="19">
        <v>8</v>
      </c>
      <c r="CB26" s="19">
        <v>9</v>
      </c>
      <c r="CC26" s="19">
        <v>9</v>
      </c>
      <c r="CD26" s="3">
        <v>9</v>
      </c>
      <c r="CE26" s="19">
        <v>9</v>
      </c>
      <c r="CF26" s="3">
        <v>9</v>
      </c>
      <c r="CG26" s="3"/>
      <c r="CH26" s="3">
        <v>9</v>
      </c>
      <c r="CI26" s="3">
        <v>9</v>
      </c>
      <c r="CJ26" s="3">
        <v>8</v>
      </c>
      <c r="CK26" s="3">
        <v>9</v>
      </c>
      <c r="CL26" s="3">
        <v>9</v>
      </c>
      <c r="CM26" s="19">
        <v>9</v>
      </c>
      <c r="CN26" s="3"/>
      <c r="CO26" s="3"/>
      <c r="CP26" s="3"/>
      <c r="CT26" s="3">
        <v>9</v>
      </c>
      <c r="CU26" s="3">
        <v>7</v>
      </c>
      <c r="CV26" s="3">
        <v>9</v>
      </c>
      <c r="CW26" s="3">
        <v>9</v>
      </c>
      <c r="CX26" s="3">
        <v>9</v>
      </c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R26" s="3"/>
    </row>
    <row r="27" spans="1:142" ht="15" customHeight="1" x14ac:dyDescent="0.25">
      <c r="A27" s="6" t="s">
        <v>166</v>
      </c>
      <c r="B27" s="2" t="s">
        <v>784</v>
      </c>
      <c r="C27" s="2" t="s">
        <v>868</v>
      </c>
      <c r="D27" s="25" t="s">
        <v>786</v>
      </c>
      <c r="E27" s="4" t="s">
        <v>787</v>
      </c>
      <c r="F27" s="4" t="s">
        <v>793</v>
      </c>
      <c r="G27" s="26">
        <v>1856</v>
      </c>
      <c r="H27" s="4" t="s">
        <v>60</v>
      </c>
      <c r="I27" s="4" t="s">
        <v>869</v>
      </c>
      <c r="J27" s="4" t="s">
        <v>789</v>
      </c>
      <c r="K27" s="4" t="s">
        <v>60</v>
      </c>
      <c r="M27" s="5"/>
      <c r="N27" s="2" t="s">
        <v>870</v>
      </c>
      <c r="O27" s="28" t="s">
        <v>2372</v>
      </c>
      <c r="P27" s="3">
        <v>7</v>
      </c>
      <c r="Q27" s="27">
        <v>1</v>
      </c>
      <c r="R27" s="3"/>
      <c r="S27" s="3">
        <v>2</v>
      </c>
      <c r="T27" s="3">
        <v>2</v>
      </c>
      <c r="U27" s="3">
        <v>1</v>
      </c>
      <c r="V27" s="3">
        <v>5</v>
      </c>
      <c r="W27" s="3"/>
      <c r="X27" s="3"/>
      <c r="Y27" s="3">
        <v>4</v>
      </c>
      <c r="Z27" s="3">
        <v>2</v>
      </c>
      <c r="AA27" s="3">
        <v>1</v>
      </c>
      <c r="AB27" s="3">
        <v>1</v>
      </c>
      <c r="AC27" s="3"/>
      <c r="AD27" s="3">
        <v>2</v>
      </c>
      <c r="AE27" s="3">
        <v>4</v>
      </c>
      <c r="AF27" s="3">
        <v>1</v>
      </c>
      <c r="AG27" s="3"/>
      <c r="AH27" s="3"/>
      <c r="AI27" s="3"/>
      <c r="AJ27" s="3"/>
      <c r="AK27" s="3"/>
      <c r="AL27" s="3"/>
      <c r="AM27" s="3">
        <v>1</v>
      </c>
      <c r="AN27" s="3">
        <v>1</v>
      </c>
      <c r="AO27" s="3">
        <v>4</v>
      </c>
      <c r="AP27" s="3">
        <v>4</v>
      </c>
      <c r="AQ27" s="3">
        <v>5</v>
      </c>
      <c r="AR27" s="3">
        <v>3</v>
      </c>
      <c r="AS27" s="3">
        <v>8</v>
      </c>
      <c r="AT27" s="3"/>
      <c r="AU27" s="3"/>
      <c r="AV27" s="3"/>
      <c r="AW27" s="3"/>
      <c r="AX27" s="3"/>
      <c r="AY27" s="3"/>
      <c r="AZ27" s="3"/>
      <c r="BA27" s="3"/>
      <c r="BB27" s="3">
        <v>1</v>
      </c>
      <c r="BC27" s="3"/>
      <c r="BD27" s="3"/>
      <c r="BE27" s="3"/>
      <c r="BF27" s="3"/>
      <c r="BG27" s="3">
        <v>9</v>
      </c>
      <c r="BH27" s="3"/>
      <c r="BI27" s="3">
        <v>1440</v>
      </c>
      <c r="BJ27" s="3">
        <v>1596</v>
      </c>
      <c r="BK27" s="3"/>
      <c r="BL27" s="3"/>
      <c r="BM27" s="3"/>
      <c r="BN27" s="3"/>
      <c r="BO27" s="3"/>
      <c r="BP27" s="3"/>
      <c r="BQ27" s="3">
        <v>9</v>
      </c>
      <c r="BR27" s="3">
        <v>9</v>
      </c>
      <c r="BS27" s="3">
        <v>9</v>
      </c>
      <c r="BT27" s="19">
        <v>9</v>
      </c>
      <c r="BU27" s="3">
        <v>7</v>
      </c>
      <c r="BV27" s="19">
        <v>9</v>
      </c>
      <c r="BW27" s="19">
        <v>9</v>
      </c>
      <c r="BX27" s="19">
        <v>9</v>
      </c>
      <c r="BY27" s="19">
        <v>9</v>
      </c>
      <c r="BZ27" s="19">
        <v>9</v>
      </c>
      <c r="CA27" s="19">
        <v>9</v>
      </c>
      <c r="CB27" s="19">
        <v>9</v>
      </c>
      <c r="CC27" s="19">
        <v>9</v>
      </c>
      <c r="CD27" s="3">
        <v>8</v>
      </c>
      <c r="CE27" s="19">
        <v>9</v>
      </c>
      <c r="CF27" s="3">
        <v>9</v>
      </c>
      <c r="CG27" s="19">
        <v>9</v>
      </c>
      <c r="CH27" s="3">
        <v>9</v>
      </c>
      <c r="CI27" s="3">
        <v>9</v>
      </c>
      <c r="CJ27" s="3">
        <v>9</v>
      </c>
      <c r="CK27" s="3">
        <v>9</v>
      </c>
      <c r="CL27" s="3">
        <v>7</v>
      </c>
      <c r="CM27" s="3"/>
      <c r="CN27" s="3"/>
      <c r="CO27" s="3"/>
      <c r="CP27" s="3"/>
      <c r="CT27" s="3">
        <v>9</v>
      </c>
      <c r="CU27" s="3">
        <v>9</v>
      </c>
      <c r="CV27" s="3">
        <v>8</v>
      </c>
      <c r="CW27" s="3">
        <v>9</v>
      </c>
      <c r="CX27" s="3">
        <v>9</v>
      </c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>
        <v>9</v>
      </c>
      <c r="DR27" s="3"/>
      <c r="DS27" s="3"/>
      <c r="DT27" s="3"/>
    </row>
    <row r="28" spans="1:142" ht="15" customHeight="1" x14ac:dyDescent="0.25">
      <c r="A28" s="6" t="s">
        <v>167</v>
      </c>
      <c r="B28" s="2" t="s">
        <v>784</v>
      </c>
      <c r="C28" s="2" t="s">
        <v>871</v>
      </c>
      <c r="D28" s="25" t="s">
        <v>786</v>
      </c>
      <c r="E28" s="4" t="s">
        <v>787</v>
      </c>
      <c r="F28" s="4" t="s">
        <v>872</v>
      </c>
      <c r="G28" s="26">
        <v>1954</v>
      </c>
      <c r="H28" s="4" t="s">
        <v>61</v>
      </c>
      <c r="I28" s="4" t="s">
        <v>873</v>
      </c>
      <c r="J28" s="4" t="s">
        <v>789</v>
      </c>
      <c r="K28" s="4" t="s">
        <v>840</v>
      </c>
      <c r="M28" s="4" t="s">
        <v>874</v>
      </c>
      <c r="N28" s="2" t="s">
        <v>875</v>
      </c>
      <c r="O28" s="28" t="s">
        <v>2373</v>
      </c>
      <c r="P28" s="3">
        <v>7</v>
      </c>
      <c r="Q28" s="27">
        <v>2</v>
      </c>
      <c r="R28" s="3"/>
      <c r="S28" s="3">
        <v>2</v>
      </c>
      <c r="T28" s="3">
        <v>2</v>
      </c>
      <c r="U28" s="3">
        <v>1</v>
      </c>
      <c r="V28" s="3">
        <v>7</v>
      </c>
      <c r="W28" s="3"/>
      <c r="X28" s="3"/>
      <c r="Y28" s="3">
        <v>6</v>
      </c>
      <c r="Z28" s="3">
        <v>2</v>
      </c>
      <c r="AA28" s="3">
        <v>1</v>
      </c>
      <c r="AB28" s="3">
        <v>1</v>
      </c>
      <c r="AC28" s="3"/>
      <c r="AD28" s="3">
        <v>2</v>
      </c>
      <c r="AE28" s="3">
        <v>4</v>
      </c>
      <c r="AF28" s="3">
        <v>1</v>
      </c>
      <c r="AG28" s="3">
        <v>0</v>
      </c>
      <c r="AH28" s="3">
        <v>0</v>
      </c>
      <c r="AI28" s="3"/>
      <c r="AJ28" s="3"/>
      <c r="AK28" s="3"/>
      <c r="AL28" s="3"/>
      <c r="AM28" s="3">
        <v>3</v>
      </c>
      <c r="AN28" s="3">
        <v>2</v>
      </c>
      <c r="AO28" s="3">
        <v>6</v>
      </c>
      <c r="AP28" s="3"/>
      <c r="AQ28" s="3">
        <v>4</v>
      </c>
      <c r="AR28" s="3">
        <v>4</v>
      </c>
      <c r="AS28" s="3">
        <v>3</v>
      </c>
      <c r="AT28" s="3"/>
      <c r="AU28" s="3"/>
      <c r="AV28" s="3"/>
      <c r="AW28" s="3"/>
      <c r="AX28" s="3"/>
      <c r="AY28" s="3"/>
      <c r="AZ28" s="3"/>
      <c r="BA28" s="3"/>
      <c r="BB28" s="3">
        <v>1</v>
      </c>
      <c r="BC28" s="3">
        <v>115</v>
      </c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>
        <v>2</v>
      </c>
      <c r="BO28" s="3"/>
      <c r="BP28" s="3"/>
      <c r="BQ28" s="3">
        <v>9</v>
      </c>
      <c r="BR28" s="3">
        <v>9</v>
      </c>
      <c r="BS28" s="3">
        <v>1</v>
      </c>
      <c r="BT28" s="19">
        <v>8</v>
      </c>
      <c r="BU28" s="3">
        <v>1</v>
      </c>
      <c r="BV28" s="19">
        <v>9</v>
      </c>
      <c r="BW28" s="19">
        <v>9</v>
      </c>
      <c r="BX28" s="19">
        <v>5</v>
      </c>
      <c r="BY28" s="19">
        <v>3</v>
      </c>
      <c r="BZ28" s="3">
        <v>1</v>
      </c>
      <c r="CA28" s="19">
        <v>1</v>
      </c>
      <c r="CB28" s="19">
        <v>9</v>
      </c>
      <c r="CC28" s="3">
        <v>9</v>
      </c>
      <c r="CD28" s="3">
        <v>9</v>
      </c>
      <c r="CE28" s="19">
        <v>8</v>
      </c>
      <c r="CF28" s="3">
        <v>9</v>
      </c>
      <c r="CG28" s="19">
        <v>9</v>
      </c>
      <c r="CH28" s="3">
        <v>9</v>
      </c>
      <c r="CI28" s="3">
        <v>9</v>
      </c>
      <c r="CJ28" s="3">
        <v>9</v>
      </c>
      <c r="CK28" s="3"/>
      <c r="CL28" s="3">
        <v>9</v>
      </c>
      <c r="CM28" s="3"/>
      <c r="CN28" s="3"/>
      <c r="CO28" s="3"/>
      <c r="CP28" s="3"/>
      <c r="CT28" s="3">
        <v>1</v>
      </c>
      <c r="CU28" s="3">
        <v>9</v>
      </c>
      <c r="CV28" s="3">
        <v>5</v>
      </c>
      <c r="CW28" s="3">
        <v>9</v>
      </c>
      <c r="CX28" s="3">
        <v>5</v>
      </c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R28" s="3"/>
      <c r="DS28" s="3"/>
      <c r="DT28" s="3"/>
    </row>
    <row r="29" spans="1:142" s="3" customFormat="1" ht="15" customHeight="1" x14ac:dyDescent="0.25">
      <c r="A29" s="6" t="s">
        <v>168</v>
      </c>
      <c r="B29" s="2" t="s">
        <v>784</v>
      </c>
      <c r="C29" s="2" t="s">
        <v>876</v>
      </c>
      <c r="D29" s="25" t="s">
        <v>786</v>
      </c>
      <c r="E29" s="4" t="s">
        <v>787</v>
      </c>
      <c r="F29" s="4" t="s">
        <v>877</v>
      </c>
      <c r="G29" s="29"/>
      <c r="H29" s="4" t="s">
        <v>62</v>
      </c>
      <c r="I29" s="5"/>
      <c r="J29" s="4" t="s">
        <v>789</v>
      </c>
      <c r="K29" s="4" t="s">
        <v>62</v>
      </c>
      <c r="L29" s="2"/>
      <c r="M29" s="5"/>
      <c r="N29" s="2" t="s">
        <v>878</v>
      </c>
      <c r="O29" s="28" t="s">
        <v>2374</v>
      </c>
      <c r="P29" s="3">
        <v>7</v>
      </c>
      <c r="Q29" s="27">
        <v>2</v>
      </c>
      <c r="S29" s="3">
        <v>2</v>
      </c>
      <c r="V29" s="3">
        <v>4</v>
      </c>
      <c r="Y29" s="3">
        <v>5</v>
      </c>
      <c r="Z29" s="3">
        <v>2</v>
      </c>
      <c r="AA29" s="3">
        <v>1</v>
      </c>
      <c r="AB29" s="3">
        <v>1</v>
      </c>
      <c r="AD29" s="3">
        <v>5</v>
      </c>
      <c r="AE29" s="3">
        <v>4</v>
      </c>
      <c r="AF29" s="3">
        <v>6</v>
      </c>
      <c r="AG29" s="3">
        <v>2</v>
      </c>
      <c r="AH29" s="3">
        <v>1</v>
      </c>
      <c r="AJ29" s="3">
        <v>1</v>
      </c>
      <c r="AM29" s="3">
        <v>1</v>
      </c>
      <c r="AO29" s="3">
        <v>6</v>
      </c>
      <c r="AP29" s="3">
        <v>2</v>
      </c>
      <c r="AQ29" s="3">
        <v>5</v>
      </c>
      <c r="AR29" s="3">
        <v>4</v>
      </c>
      <c r="AS29" s="3">
        <v>6</v>
      </c>
      <c r="AZ29" s="3">
        <v>1</v>
      </c>
      <c r="BA29" s="3">
        <v>1</v>
      </c>
      <c r="BB29" s="3">
        <v>9</v>
      </c>
      <c r="BG29" s="3">
        <v>9</v>
      </c>
      <c r="BK29" s="3">
        <v>5</v>
      </c>
      <c r="BQ29" s="3">
        <v>9</v>
      </c>
      <c r="BR29" s="3">
        <v>9</v>
      </c>
      <c r="BS29" s="3">
        <v>9</v>
      </c>
      <c r="BT29" s="19">
        <v>9</v>
      </c>
      <c r="BU29" s="3">
        <v>9</v>
      </c>
      <c r="BV29" s="19">
        <v>9</v>
      </c>
      <c r="BW29" s="19">
        <v>9</v>
      </c>
      <c r="BX29" s="19">
        <v>9</v>
      </c>
      <c r="BY29" s="19">
        <v>7</v>
      </c>
      <c r="BZ29" s="19">
        <v>9</v>
      </c>
      <c r="CA29" s="19">
        <v>9</v>
      </c>
      <c r="CB29" s="19">
        <v>9</v>
      </c>
      <c r="CC29" s="19">
        <v>9</v>
      </c>
      <c r="CD29" s="3">
        <v>9</v>
      </c>
      <c r="CE29" s="19">
        <v>9</v>
      </c>
      <c r="CF29" s="3">
        <v>9</v>
      </c>
      <c r="CG29" s="19">
        <v>9</v>
      </c>
      <c r="CH29" s="3">
        <v>9</v>
      </c>
      <c r="CI29" s="3">
        <v>9</v>
      </c>
      <c r="CJ29" s="3">
        <v>9</v>
      </c>
      <c r="CK29" s="3">
        <v>7</v>
      </c>
      <c r="CL29" s="3">
        <v>9</v>
      </c>
      <c r="CM29" s="19">
        <v>9</v>
      </c>
      <c r="CT29" s="3">
        <v>9</v>
      </c>
      <c r="CU29" s="3">
        <v>9</v>
      </c>
      <c r="CV29" s="3">
        <v>9</v>
      </c>
      <c r="CW29" s="3">
        <v>9</v>
      </c>
      <c r="CX29" s="3">
        <v>3</v>
      </c>
      <c r="DP29" s="3">
        <v>9</v>
      </c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</row>
    <row r="30" spans="1:142" s="3" customFormat="1" ht="15" customHeight="1" x14ac:dyDescent="0.25">
      <c r="A30" s="6" t="s">
        <v>169</v>
      </c>
      <c r="B30" s="2" t="s">
        <v>784</v>
      </c>
      <c r="C30" s="2" t="s">
        <v>879</v>
      </c>
      <c r="D30" s="25" t="s">
        <v>786</v>
      </c>
      <c r="E30" s="4" t="s">
        <v>787</v>
      </c>
      <c r="F30" s="4" t="s">
        <v>854</v>
      </c>
      <c r="G30" s="26">
        <v>1833</v>
      </c>
      <c r="H30" s="4" t="s">
        <v>63</v>
      </c>
      <c r="I30" s="5"/>
      <c r="J30" s="4" t="s">
        <v>789</v>
      </c>
      <c r="K30" s="4" t="s">
        <v>63</v>
      </c>
      <c r="L30" s="2"/>
      <c r="M30" s="5"/>
      <c r="N30" s="2" t="s">
        <v>880</v>
      </c>
      <c r="O30" s="28" t="s">
        <v>2375</v>
      </c>
      <c r="P30" s="3">
        <v>7</v>
      </c>
      <c r="Q30" s="27">
        <v>2</v>
      </c>
      <c r="S30" s="3">
        <v>2</v>
      </c>
      <c r="U30" s="3">
        <v>1</v>
      </c>
      <c r="V30" s="3">
        <v>6</v>
      </c>
      <c r="Y30" s="3">
        <v>5</v>
      </c>
      <c r="Z30" s="3">
        <v>2</v>
      </c>
      <c r="AA30" s="3">
        <v>2</v>
      </c>
      <c r="AB30" s="3">
        <v>1</v>
      </c>
      <c r="AD30" s="3">
        <v>2</v>
      </c>
      <c r="AE30" s="3">
        <v>4</v>
      </c>
      <c r="AF30" s="3">
        <v>1</v>
      </c>
      <c r="AM30" s="3">
        <v>1</v>
      </c>
      <c r="AN30" s="3">
        <v>1</v>
      </c>
      <c r="AO30" s="3">
        <v>2</v>
      </c>
      <c r="AP30" s="3">
        <v>4</v>
      </c>
      <c r="AQ30" s="3">
        <v>4</v>
      </c>
      <c r="AR30" s="3">
        <v>2</v>
      </c>
      <c r="AS30" s="3">
        <v>8</v>
      </c>
      <c r="BB30" s="3">
        <v>1</v>
      </c>
      <c r="BG30" s="3">
        <v>9</v>
      </c>
      <c r="BK30" s="3">
        <v>5</v>
      </c>
      <c r="BQ30" s="3">
        <v>9</v>
      </c>
      <c r="BR30" s="3">
        <v>9</v>
      </c>
      <c r="BS30" s="3">
        <v>9</v>
      </c>
      <c r="BT30" s="19">
        <v>9</v>
      </c>
      <c r="BU30" s="3">
        <v>9</v>
      </c>
      <c r="BV30" s="19">
        <v>9</v>
      </c>
      <c r="BW30" s="19">
        <v>9</v>
      </c>
      <c r="BX30" s="19">
        <v>5</v>
      </c>
      <c r="BY30" s="19">
        <v>9</v>
      </c>
      <c r="BZ30" s="19">
        <v>9</v>
      </c>
      <c r="CA30" s="19">
        <v>9</v>
      </c>
      <c r="CB30" s="19">
        <v>9</v>
      </c>
      <c r="CC30" s="19">
        <v>9</v>
      </c>
      <c r="CD30" s="3">
        <v>9</v>
      </c>
      <c r="CE30" s="19">
        <v>9</v>
      </c>
      <c r="CF30" s="3">
        <v>9</v>
      </c>
      <c r="CG30" s="19">
        <v>9</v>
      </c>
      <c r="CH30" s="3">
        <v>9</v>
      </c>
      <c r="CI30" s="3">
        <v>9</v>
      </c>
      <c r="CJ30" s="3">
        <v>9</v>
      </c>
      <c r="CK30" s="3">
        <v>9</v>
      </c>
      <c r="CL30" s="3">
        <v>9</v>
      </c>
      <c r="CM30" s="19">
        <v>9</v>
      </c>
      <c r="CT30" s="3">
        <v>9</v>
      </c>
      <c r="CU30" s="3">
        <v>9</v>
      </c>
      <c r="CV30" s="3">
        <v>9</v>
      </c>
      <c r="CW30" s="3">
        <v>9</v>
      </c>
      <c r="DP30" s="3">
        <v>9</v>
      </c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</row>
    <row r="31" spans="1:142" s="3" customFormat="1" ht="15" customHeight="1" x14ac:dyDescent="0.25">
      <c r="A31" s="6" t="s">
        <v>170</v>
      </c>
      <c r="B31" s="2" t="s">
        <v>784</v>
      </c>
      <c r="C31" s="2" t="s">
        <v>881</v>
      </c>
      <c r="D31" s="25" t="s">
        <v>786</v>
      </c>
      <c r="E31" s="4" t="s">
        <v>787</v>
      </c>
      <c r="F31" s="4" t="s">
        <v>788</v>
      </c>
      <c r="G31" s="26">
        <v>1974</v>
      </c>
      <c r="H31" s="4" t="s">
        <v>67</v>
      </c>
      <c r="I31" s="4" t="s">
        <v>882</v>
      </c>
      <c r="J31" s="4" t="s">
        <v>789</v>
      </c>
      <c r="K31" s="4" t="s">
        <v>67</v>
      </c>
      <c r="L31" s="2" t="s">
        <v>802</v>
      </c>
      <c r="M31" s="4" t="s">
        <v>883</v>
      </c>
      <c r="N31" s="2" t="s">
        <v>884</v>
      </c>
      <c r="O31" s="28" t="s">
        <v>2376</v>
      </c>
      <c r="P31" s="3">
        <v>6</v>
      </c>
      <c r="Q31" s="27">
        <v>1</v>
      </c>
      <c r="S31" s="3">
        <v>2</v>
      </c>
      <c r="U31" s="3">
        <v>1</v>
      </c>
      <c r="V31" s="3">
        <v>5</v>
      </c>
      <c r="Y31" s="3">
        <v>4</v>
      </c>
      <c r="Z31" s="3">
        <v>3</v>
      </c>
      <c r="AA31" s="3">
        <v>1</v>
      </c>
      <c r="AD31" s="3">
        <v>2</v>
      </c>
      <c r="AE31" s="3">
        <v>3</v>
      </c>
      <c r="AF31" s="3">
        <v>1</v>
      </c>
      <c r="AM31" s="3">
        <v>1</v>
      </c>
      <c r="AN31" s="3">
        <v>2</v>
      </c>
      <c r="AO31" s="3">
        <v>5</v>
      </c>
      <c r="AP31" s="3">
        <v>3</v>
      </c>
      <c r="AQ31" s="3">
        <v>6</v>
      </c>
      <c r="AR31" s="3">
        <v>3</v>
      </c>
      <c r="AS31" s="3">
        <v>6</v>
      </c>
      <c r="BH31" s="3">
        <v>3</v>
      </c>
      <c r="BI31" s="3">
        <v>1031</v>
      </c>
      <c r="BJ31" s="3">
        <v>1537</v>
      </c>
      <c r="BK31" s="3">
        <v>1</v>
      </c>
      <c r="BL31" s="3">
        <v>2</v>
      </c>
      <c r="BN31" s="3">
        <v>1</v>
      </c>
      <c r="BQ31" s="3">
        <v>1</v>
      </c>
      <c r="BR31" s="3">
        <v>9</v>
      </c>
      <c r="BS31" s="3">
        <v>9</v>
      </c>
      <c r="BT31" s="3">
        <v>1</v>
      </c>
      <c r="BU31" s="3">
        <v>1</v>
      </c>
      <c r="BX31" s="3">
        <v>9</v>
      </c>
      <c r="BY31" s="3">
        <v>9</v>
      </c>
      <c r="BZ31" s="3">
        <v>9</v>
      </c>
      <c r="CA31" s="3">
        <v>1</v>
      </c>
      <c r="CB31" s="3">
        <v>9</v>
      </c>
      <c r="CC31" s="3">
        <v>1</v>
      </c>
      <c r="CD31" s="3">
        <v>9</v>
      </c>
      <c r="CE31" s="19">
        <v>1</v>
      </c>
      <c r="CF31" s="3">
        <v>9</v>
      </c>
      <c r="CH31" s="3">
        <v>9</v>
      </c>
      <c r="CI31" s="3">
        <v>9</v>
      </c>
      <c r="CJ31" s="3">
        <v>9</v>
      </c>
      <c r="CK31" s="3">
        <v>9</v>
      </c>
      <c r="CL31" s="3">
        <v>9</v>
      </c>
      <c r="CT31" s="3">
        <v>9</v>
      </c>
      <c r="CU31" s="3">
        <v>2</v>
      </c>
      <c r="CV31" s="3">
        <v>9</v>
      </c>
      <c r="CW31" s="3">
        <v>1</v>
      </c>
      <c r="CX31" s="3">
        <v>9</v>
      </c>
      <c r="CZ31" s="3">
        <v>1</v>
      </c>
      <c r="DA31" s="3">
        <v>1</v>
      </c>
      <c r="DB31" s="3">
        <v>1</v>
      </c>
      <c r="DC31" s="3">
        <v>1</v>
      </c>
      <c r="DD31" s="3">
        <v>1</v>
      </c>
      <c r="DE31" s="3">
        <v>1</v>
      </c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</row>
    <row r="32" spans="1:142" ht="15" customHeight="1" x14ac:dyDescent="0.25">
      <c r="A32" s="6" t="s">
        <v>171</v>
      </c>
      <c r="B32" s="2" t="s">
        <v>784</v>
      </c>
      <c r="C32" s="2" t="s">
        <v>885</v>
      </c>
      <c r="D32" s="25" t="s">
        <v>786</v>
      </c>
      <c r="E32" s="5"/>
      <c r="F32" s="4" t="s">
        <v>886</v>
      </c>
      <c r="G32" s="26">
        <v>1972</v>
      </c>
      <c r="H32" s="4" t="s">
        <v>69</v>
      </c>
      <c r="I32" s="4" t="s">
        <v>887</v>
      </c>
      <c r="J32" s="4" t="s">
        <v>789</v>
      </c>
      <c r="K32" s="3"/>
      <c r="M32" s="5"/>
      <c r="N32" s="2" t="s">
        <v>888</v>
      </c>
      <c r="O32" s="28" t="s">
        <v>2377</v>
      </c>
      <c r="P32" s="3">
        <v>7</v>
      </c>
      <c r="Q32" s="27">
        <v>1</v>
      </c>
      <c r="R32" s="3"/>
      <c r="S32" s="3"/>
      <c r="T32" s="3">
        <v>3</v>
      </c>
      <c r="U32" s="3">
        <v>9</v>
      </c>
      <c r="V32" s="3">
        <v>7</v>
      </c>
      <c r="W32" s="3"/>
      <c r="X32" s="3"/>
      <c r="Y32" s="3">
        <v>7</v>
      </c>
      <c r="Z32" s="3">
        <v>2</v>
      </c>
      <c r="AA32" s="3">
        <v>1</v>
      </c>
      <c r="AB32" s="3">
        <v>1</v>
      </c>
      <c r="AC32" s="3"/>
      <c r="AD32" s="3">
        <v>2</v>
      </c>
      <c r="AE32" s="3">
        <v>3</v>
      </c>
      <c r="AF32" s="3">
        <v>2</v>
      </c>
      <c r="AG32" s="3">
        <v>1</v>
      </c>
      <c r="AH32" s="3">
        <v>1</v>
      </c>
      <c r="AI32" s="3"/>
      <c r="AJ32" s="3"/>
      <c r="AK32" s="3"/>
      <c r="AL32" s="3"/>
      <c r="AM32" s="3">
        <v>4</v>
      </c>
      <c r="AN32" s="3">
        <v>4</v>
      </c>
      <c r="AO32" s="3">
        <v>6</v>
      </c>
      <c r="AP32" s="3">
        <v>1</v>
      </c>
      <c r="AQ32" s="3">
        <v>3</v>
      </c>
      <c r="AR32" s="3">
        <v>5</v>
      </c>
      <c r="AS32" s="3">
        <v>2</v>
      </c>
      <c r="AT32" s="3"/>
      <c r="AU32" s="3"/>
      <c r="AV32" s="3"/>
      <c r="AW32" s="3"/>
      <c r="AX32" s="3"/>
      <c r="AY32" s="3"/>
      <c r="AZ32" s="3"/>
      <c r="BA32" s="3"/>
      <c r="BB32" s="3">
        <v>9</v>
      </c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>
        <v>3</v>
      </c>
      <c r="BO32" s="3"/>
      <c r="BP32" s="3"/>
      <c r="BQ32" s="3"/>
      <c r="BR32" s="3">
        <v>9</v>
      </c>
      <c r="BS32" s="3">
        <v>1</v>
      </c>
      <c r="BT32" s="3">
        <v>9</v>
      </c>
      <c r="BU32" s="3">
        <v>1</v>
      </c>
      <c r="BV32" s="3">
        <v>9</v>
      </c>
      <c r="BW32" s="3"/>
      <c r="BX32" s="3"/>
      <c r="BY32" s="3"/>
      <c r="BZ32" s="3">
        <v>1</v>
      </c>
      <c r="CA32" s="3">
        <v>1</v>
      </c>
      <c r="CB32" s="3">
        <v>2</v>
      </c>
      <c r="CC32" s="3"/>
      <c r="CD32" s="3">
        <v>1</v>
      </c>
      <c r="CE32" s="19">
        <v>9</v>
      </c>
      <c r="CF32" s="3">
        <v>9</v>
      </c>
      <c r="CG32" s="19">
        <v>9</v>
      </c>
      <c r="CH32" s="3">
        <v>1</v>
      </c>
      <c r="CI32" s="3">
        <v>3</v>
      </c>
      <c r="CJ32" s="3">
        <v>9</v>
      </c>
      <c r="CK32" s="3">
        <v>1</v>
      </c>
      <c r="CL32" s="3">
        <v>1</v>
      </c>
      <c r="CM32" s="3"/>
      <c r="CN32" s="3"/>
      <c r="CO32" s="3"/>
      <c r="CP32" s="3"/>
      <c r="CT32" s="3">
        <v>1</v>
      </c>
      <c r="CU32" s="3">
        <v>1</v>
      </c>
      <c r="CV32" s="3">
        <v>9</v>
      </c>
      <c r="CW32" s="3"/>
      <c r="CX32" s="3"/>
      <c r="CY32" s="3"/>
      <c r="CZ32" s="3">
        <v>1</v>
      </c>
      <c r="DA32" s="3">
        <v>1</v>
      </c>
      <c r="DB32" s="3">
        <v>1</v>
      </c>
      <c r="DC32" s="3"/>
      <c r="DD32" s="3"/>
      <c r="DE32" s="3">
        <v>9</v>
      </c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R32" s="3"/>
      <c r="DS32" s="3"/>
      <c r="DT32" s="3"/>
    </row>
    <row r="33" spans="1:124" ht="15" customHeight="1" x14ac:dyDescent="0.25">
      <c r="A33" s="6" t="s">
        <v>172</v>
      </c>
      <c r="B33" s="2" t="s">
        <v>784</v>
      </c>
      <c r="C33" s="2" t="s">
        <v>889</v>
      </c>
      <c r="D33" s="25" t="s">
        <v>786</v>
      </c>
      <c r="E33" s="4" t="s">
        <v>787</v>
      </c>
      <c r="F33" s="4" t="s">
        <v>793</v>
      </c>
      <c r="G33" s="29"/>
      <c r="H33" s="4" t="s">
        <v>71</v>
      </c>
      <c r="I33" s="5"/>
      <c r="J33" s="4" t="s">
        <v>789</v>
      </c>
      <c r="K33" s="4" t="s">
        <v>71</v>
      </c>
      <c r="M33" s="5"/>
      <c r="N33" s="2" t="s">
        <v>890</v>
      </c>
      <c r="O33" s="28" t="s">
        <v>2378</v>
      </c>
      <c r="P33" s="3">
        <v>6</v>
      </c>
      <c r="Q33" s="27">
        <v>1</v>
      </c>
      <c r="R33" s="3"/>
      <c r="S33" s="3"/>
      <c r="T33" s="3">
        <v>2</v>
      </c>
      <c r="U33" s="3">
        <v>1</v>
      </c>
      <c r="V33" s="3">
        <v>5</v>
      </c>
      <c r="W33" s="3"/>
      <c r="X33" s="3"/>
      <c r="Y33" s="3">
        <v>6</v>
      </c>
      <c r="Z33" s="3">
        <v>2</v>
      </c>
      <c r="AA33" s="3">
        <v>1</v>
      </c>
      <c r="AB33" s="3">
        <v>1</v>
      </c>
      <c r="AC33" s="3"/>
      <c r="AD33" s="3">
        <v>2</v>
      </c>
      <c r="AE33" s="3">
        <v>4</v>
      </c>
      <c r="AF33" s="3">
        <v>1</v>
      </c>
      <c r="AG33" s="3"/>
      <c r="AH33" s="3"/>
      <c r="AI33" s="3"/>
      <c r="AJ33" s="3"/>
      <c r="AK33" s="3"/>
      <c r="AL33" s="3"/>
      <c r="AM33" s="3">
        <v>1</v>
      </c>
      <c r="AN33" s="3">
        <v>7</v>
      </c>
      <c r="AO33" s="3">
        <v>6</v>
      </c>
      <c r="AP33" s="3">
        <v>3</v>
      </c>
      <c r="AQ33" s="3">
        <v>5</v>
      </c>
      <c r="AR33" s="3">
        <v>3</v>
      </c>
      <c r="AS33" s="3">
        <v>7</v>
      </c>
      <c r="AT33" s="3"/>
      <c r="AU33" s="3"/>
      <c r="AV33" s="3"/>
      <c r="AW33" s="3"/>
      <c r="AX33" s="3"/>
      <c r="AY33" s="3"/>
      <c r="AZ33" s="3"/>
      <c r="BA33" s="3"/>
      <c r="BB33" s="3">
        <v>1</v>
      </c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>
        <v>9</v>
      </c>
      <c r="BR33" s="3"/>
      <c r="BS33" s="3">
        <v>9</v>
      </c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R33" s="3"/>
      <c r="DS33" s="3"/>
      <c r="DT33" s="3"/>
    </row>
    <row r="34" spans="1:124" ht="15" customHeight="1" x14ac:dyDescent="0.25">
      <c r="A34" s="6" t="s">
        <v>173</v>
      </c>
      <c r="B34" s="2" t="s">
        <v>784</v>
      </c>
      <c r="C34" s="2" t="s">
        <v>891</v>
      </c>
      <c r="D34" s="25" t="s">
        <v>786</v>
      </c>
      <c r="E34" s="4" t="s">
        <v>787</v>
      </c>
      <c r="F34" s="4" t="s">
        <v>788</v>
      </c>
      <c r="G34" s="26">
        <v>1980</v>
      </c>
      <c r="H34" s="4" t="s">
        <v>73</v>
      </c>
      <c r="I34" s="5"/>
      <c r="J34" s="4" t="s">
        <v>789</v>
      </c>
      <c r="K34" s="4" t="s">
        <v>73</v>
      </c>
      <c r="L34" s="2" t="s">
        <v>790</v>
      </c>
      <c r="M34" s="5"/>
      <c r="N34" s="2" t="s">
        <v>892</v>
      </c>
      <c r="O34" s="28" t="s">
        <v>2379</v>
      </c>
      <c r="P34" s="3">
        <v>7</v>
      </c>
      <c r="Q34" s="27">
        <v>1</v>
      </c>
      <c r="R34" s="3"/>
      <c r="S34" s="3">
        <v>2</v>
      </c>
      <c r="T34" s="3">
        <v>3</v>
      </c>
      <c r="U34" s="3">
        <v>1</v>
      </c>
      <c r="V34" s="3">
        <v>4</v>
      </c>
      <c r="W34" s="3"/>
      <c r="X34" s="3"/>
      <c r="Y34" s="3">
        <v>4</v>
      </c>
      <c r="Z34" s="3">
        <v>3</v>
      </c>
      <c r="AA34" s="3">
        <v>1</v>
      </c>
      <c r="AB34" s="3">
        <v>1</v>
      </c>
      <c r="AC34" s="3"/>
      <c r="AD34" s="3">
        <v>2</v>
      </c>
      <c r="AE34" s="3">
        <v>6</v>
      </c>
      <c r="AF34" s="3">
        <v>1</v>
      </c>
      <c r="AG34" s="3"/>
      <c r="AH34" s="3"/>
      <c r="AI34" s="3"/>
      <c r="AJ34" s="3"/>
      <c r="AK34" s="3"/>
      <c r="AL34" s="3"/>
      <c r="AM34" s="3">
        <v>1</v>
      </c>
      <c r="AN34" s="3">
        <v>1</v>
      </c>
      <c r="AO34" s="3">
        <v>6</v>
      </c>
      <c r="AP34" s="3">
        <v>3</v>
      </c>
      <c r="AQ34" s="3">
        <v>5</v>
      </c>
      <c r="AR34" s="3">
        <v>3</v>
      </c>
      <c r="AS34" s="3">
        <v>5</v>
      </c>
      <c r="AT34" s="3"/>
      <c r="AU34" s="3">
        <v>111</v>
      </c>
      <c r="AV34" s="3"/>
      <c r="AW34" s="3"/>
      <c r="AX34" s="3"/>
      <c r="AY34" s="3"/>
      <c r="AZ34" s="3"/>
      <c r="BA34" s="3"/>
      <c r="BB34" s="3">
        <v>1</v>
      </c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>
        <v>1</v>
      </c>
      <c r="BS34" s="3">
        <v>1</v>
      </c>
      <c r="BT34" s="3">
        <v>8</v>
      </c>
      <c r="BU34" s="3">
        <v>2</v>
      </c>
      <c r="BV34" s="3">
        <v>1</v>
      </c>
      <c r="BW34" s="3">
        <v>9</v>
      </c>
      <c r="BX34" s="3">
        <v>9</v>
      </c>
      <c r="BY34" s="3">
        <v>1</v>
      </c>
      <c r="BZ34" s="3">
        <v>1</v>
      </c>
      <c r="CA34" s="3">
        <v>1</v>
      </c>
      <c r="CB34" s="3">
        <v>1</v>
      </c>
      <c r="CC34" s="3">
        <v>9</v>
      </c>
      <c r="CD34" s="3">
        <v>9</v>
      </c>
      <c r="CE34" s="19">
        <v>9</v>
      </c>
      <c r="CF34" s="3">
        <v>9</v>
      </c>
      <c r="CG34" s="19">
        <v>1</v>
      </c>
      <c r="CH34" s="3">
        <v>9</v>
      </c>
      <c r="CI34" s="3">
        <v>9</v>
      </c>
      <c r="CJ34" s="3">
        <v>9</v>
      </c>
      <c r="CK34" s="3">
        <v>9</v>
      </c>
      <c r="CL34" s="3">
        <v>9</v>
      </c>
      <c r="CM34" s="3"/>
      <c r="CN34" s="3"/>
      <c r="CO34" s="3"/>
      <c r="CP34" s="3"/>
      <c r="CT34" s="3">
        <v>1</v>
      </c>
      <c r="CU34" s="3">
        <v>9</v>
      </c>
      <c r="CV34" s="3">
        <v>7</v>
      </c>
      <c r="CW34" s="3">
        <v>9</v>
      </c>
      <c r="CX34" s="3">
        <v>9</v>
      </c>
      <c r="CY34" s="3"/>
      <c r="CZ34" s="3">
        <v>7</v>
      </c>
      <c r="DA34" s="3">
        <v>1</v>
      </c>
      <c r="DB34" s="3">
        <v>1</v>
      </c>
      <c r="DC34" s="3">
        <v>7</v>
      </c>
      <c r="DD34" s="3">
        <v>3</v>
      </c>
      <c r="DE34" s="3">
        <v>1</v>
      </c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R34" s="3"/>
    </row>
    <row r="35" spans="1:124" ht="15" customHeight="1" x14ac:dyDescent="0.25">
      <c r="A35" s="6" t="s">
        <v>174</v>
      </c>
      <c r="B35" s="2" t="s">
        <v>784</v>
      </c>
      <c r="C35" s="2" t="s">
        <v>893</v>
      </c>
      <c r="D35" s="25" t="s">
        <v>786</v>
      </c>
      <c r="E35" s="4" t="s">
        <v>787</v>
      </c>
      <c r="F35" s="4" t="s">
        <v>788</v>
      </c>
      <c r="G35" s="26">
        <v>1977</v>
      </c>
      <c r="H35" s="4" t="s">
        <v>74</v>
      </c>
      <c r="I35" s="5"/>
      <c r="J35" s="4" t="s">
        <v>789</v>
      </c>
      <c r="K35" s="4" t="s">
        <v>74</v>
      </c>
      <c r="L35" s="2" t="s">
        <v>790</v>
      </c>
      <c r="M35" s="4" t="s">
        <v>894</v>
      </c>
      <c r="N35" s="2" t="s">
        <v>895</v>
      </c>
      <c r="O35" s="28" t="s">
        <v>2380</v>
      </c>
      <c r="P35" s="3">
        <v>7</v>
      </c>
      <c r="Q35" s="27">
        <v>1</v>
      </c>
      <c r="R35" s="3"/>
      <c r="S35" s="3">
        <v>2</v>
      </c>
      <c r="T35" s="3">
        <v>2</v>
      </c>
      <c r="U35" s="3">
        <v>1</v>
      </c>
      <c r="V35" s="3">
        <v>5</v>
      </c>
      <c r="W35" s="3"/>
      <c r="X35" s="3"/>
      <c r="Y35" s="3">
        <v>3</v>
      </c>
      <c r="Z35" s="3">
        <v>2</v>
      </c>
      <c r="AA35" s="3">
        <v>1</v>
      </c>
      <c r="AB35" s="3">
        <v>1</v>
      </c>
      <c r="AC35" s="3"/>
      <c r="AD35" s="3">
        <v>2</v>
      </c>
      <c r="AE35" s="3">
        <v>3</v>
      </c>
      <c r="AF35" s="3">
        <v>1</v>
      </c>
      <c r="AG35" s="3">
        <v>0</v>
      </c>
      <c r="AH35" s="3">
        <v>0</v>
      </c>
      <c r="AI35" s="3"/>
      <c r="AJ35" s="3"/>
      <c r="AK35" s="3"/>
      <c r="AL35" s="3"/>
      <c r="AM35" s="3">
        <v>1</v>
      </c>
      <c r="AN35" s="3">
        <v>1</v>
      </c>
      <c r="AO35" s="3">
        <v>4</v>
      </c>
      <c r="AP35" s="3">
        <v>3</v>
      </c>
      <c r="AQ35" s="3">
        <v>6</v>
      </c>
      <c r="AR35" s="3">
        <v>3</v>
      </c>
      <c r="AS35" s="3">
        <v>8</v>
      </c>
      <c r="AT35" s="3"/>
      <c r="AU35" s="3"/>
      <c r="AV35" s="3"/>
      <c r="AW35" s="3"/>
      <c r="AX35" s="3"/>
      <c r="AY35" s="3"/>
      <c r="AZ35" s="3"/>
      <c r="BA35" s="3"/>
      <c r="BB35" s="3">
        <v>1</v>
      </c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>
        <v>1</v>
      </c>
      <c r="BR35" s="3">
        <v>1</v>
      </c>
      <c r="BS35" s="3">
        <v>1</v>
      </c>
      <c r="BT35" s="3">
        <v>1</v>
      </c>
      <c r="BU35" s="3"/>
      <c r="BV35" s="3">
        <v>1</v>
      </c>
      <c r="BW35" s="3">
        <v>9</v>
      </c>
      <c r="BX35" s="3">
        <v>9</v>
      </c>
      <c r="BY35" s="3">
        <v>1</v>
      </c>
      <c r="BZ35" s="3">
        <v>2</v>
      </c>
      <c r="CA35" s="3">
        <v>9</v>
      </c>
      <c r="CB35" s="3">
        <v>1</v>
      </c>
      <c r="CC35" s="3">
        <v>9</v>
      </c>
      <c r="CD35" s="3">
        <v>9</v>
      </c>
      <c r="CE35" s="19">
        <v>1</v>
      </c>
      <c r="CF35" s="3">
        <v>1</v>
      </c>
      <c r="CG35" s="3"/>
      <c r="CH35" s="3">
        <v>9</v>
      </c>
      <c r="CI35" s="3">
        <v>9</v>
      </c>
      <c r="CJ35" s="3">
        <v>1</v>
      </c>
      <c r="CK35" s="3">
        <v>9</v>
      </c>
      <c r="CL35" s="3">
        <v>1</v>
      </c>
      <c r="CM35" s="3"/>
      <c r="CN35" s="3"/>
      <c r="CO35" s="3"/>
      <c r="CP35" s="3"/>
      <c r="CT35" s="3">
        <v>8</v>
      </c>
      <c r="CU35" s="3">
        <v>7</v>
      </c>
      <c r="CV35" s="3">
        <v>5</v>
      </c>
      <c r="CW35" s="3">
        <v>1</v>
      </c>
      <c r="CX35" s="3">
        <v>9</v>
      </c>
      <c r="CY35" s="3"/>
      <c r="CZ35" s="3">
        <v>1</v>
      </c>
      <c r="DA35" s="3">
        <v>1</v>
      </c>
      <c r="DB35" s="3">
        <v>1</v>
      </c>
      <c r="DC35" s="3">
        <v>1</v>
      </c>
      <c r="DD35" s="3">
        <v>1</v>
      </c>
      <c r="DE35" s="3">
        <v>1</v>
      </c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R35" s="3"/>
      <c r="DS35" s="3"/>
      <c r="DT35" s="3"/>
    </row>
    <row r="36" spans="1:124" ht="15" customHeight="1" x14ac:dyDescent="0.25">
      <c r="A36" s="6" t="s">
        <v>175</v>
      </c>
      <c r="B36" s="2" t="s">
        <v>784</v>
      </c>
      <c r="C36" s="2" t="s">
        <v>896</v>
      </c>
      <c r="D36" s="25" t="s">
        <v>786</v>
      </c>
      <c r="E36" s="4" t="s">
        <v>787</v>
      </c>
      <c r="F36" s="4" t="s">
        <v>788</v>
      </c>
      <c r="G36" s="26">
        <v>1982</v>
      </c>
      <c r="H36" s="4" t="s">
        <v>75</v>
      </c>
      <c r="I36" s="4" t="s">
        <v>897</v>
      </c>
      <c r="J36" s="4" t="s">
        <v>789</v>
      </c>
      <c r="K36" s="3"/>
      <c r="L36" s="2" t="s">
        <v>802</v>
      </c>
      <c r="M36" s="4" t="s">
        <v>898</v>
      </c>
      <c r="N36" s="2" t="s">
        <v>899</v>
      </c>
      <c r="O36" s="28" t="s">
        <v>2381</v>
      </c>
      <c r="P36" s="3">
        <v>7</v>
      </c>
      <c r="Q36" s="27">
        <v>2</v>
      </c>
      <c r="R36" s="3"/>
      <c r="S36" s="3">
        <v>2</v>
      </c>
      <c r="T36" s="3"/>
      <c r="U36" s="3">
        <v>1</v>
      </c>
      <c r="V36" s="3">
        <v>5</v>
      </c>
      <c r="W36" s="3"/>
      <c r="X36" s="19"/>
      <c r="Y36" s="3">
        <v>3</v>
      </c>
      <c r="Z36" s="3">
        <v>3</v>
      </c>
      <c r="AA36" s="3">
        <v>1</v>
      </c>
      <c r="AB36" s="3">
        <v>1</v>
      </c>
      <c r="AC36" s="3"/>
      <c r="AD36" s="3">
        <v>2</v>
      </c>
      <c r="AE36" s="3">
        <v>3</v>
      </c>
      <c r="AF36" s="3">
        <v>1</v>
      </c>
      <c r="AG36" s="3"/>
      <c r="AH36" s="3"/>
      <c r="AI36" s="3"/>
      <c r="AJ36" s="3"/>
      <c r="AK36" s="3"/>
      <c r="AL36" s="3"/>
      <c r="AM36" s="3">
        <v>1</v>
      </c>
      <c r="AN36" s="3">
        <v>3</v>
      </c>
      <c r="AO36" s="3">
        <v>6</v>
      </c>
      <c r="AP36" s="3">
        <v>3</v>
      </c>
      <c r="AQ36" s="3">
        <v>5</v>
      </c>
      <c r="AR36" s="3">
        <v>3</v>
      </c>
      <c r="AS36" s="3">
        <v>8</v>
      </c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>
        <v>2</v>
      </c>
      <c r="BI36" s="3"/>
      <c r="BJ36" s="3"/>
      <c r="BK36" s="3">
        <v>5</v>
      </c>
      <c r="BL36" s="3">
        <v>3</v>
      </c>
      <c r="BM36" s="3"/>
      <c r="BN36" s="3"/>
      <c r="BO36" s="3"/>
      <c r="BP36" s="3"/>
      <c r="BQ36" s="3">
        <v>1</v>
      </c>
      <c r="BR36" s="3">
        <v>1</v>
      </c>
      <c r="BS36" s="3">
        <v>1</v>
      </c>
      <c r="BT36" s="3">
        <v>1</v>
      </c>
      <c r="BU36" s="3">
        <v>1</v>
      </c>
      <c r="BV36" s="3">
        <v>1</v>
      </c>
      <c r="BW36" s="3">
        <v>1</v>
      </c>
      <c r="BX36" s="3"/>
      <c r="BY36" s="3">
        <v>1</v>
      </c>
      <c r="BZ36" s="3">
        <v>1</v>
      </c>
      <c r="CA36" s="3">
        <v>1</v>
      </c>
      <c r="CB36" s="3">
        <v>1</v>
      </c>
      <c r="CC36" s="3">
        <v>1</v>
      </c>
      <c r="CD36" s="3">
        <v>1</v>
      </c>
      <c r="CE36" s="19">
        <v>9</v>
      </c>
      <c r="CF36" s="3">
        <v>1</v>
      </c>
      <c r="CG36" s="3"/>
      <c r="CH36" s="3"/>
      <c r="CI36" s="3">
        <v>1</v>
      </c>
      <c r="CJ36" s="3">
        <v>9</v>
      </c>
      <c r="CK36" s="3">
        <v>1</v>
      </c>
      <c r="CL36" s="3">
        <v>8</v>
      </c>
      <c r="CM36" s="3"/>
      <c r="CN36" s="3"/>
      <c r="CO36" s="3"/>
      <c r="CP36" s="3"/>
      <c r="CT36" s="3">
        <v>1</v>
      </c>
      <c r="CU36" s="3">
        <v>1</v>
      </c>
      <c r="CV36" s="3">
        <v>9</v>
      </c>
      <c r="CW36" s="3">
        <v>1</v>
      </c>
      <c r="CX36" s="3">
        <v>1</v>
      </c>
      <c r="CY36" s="3"/>
      <c r="CZ36" s="3">
        <v>1</v>
      </c>
      <c r="DA36" s="3">
        <v>1</v>
      </c>
      <c r="DB36" s="3">
        <v>1</v>
      </c>
      <c r="DC36" s="3">
        <v>1</v>
      </c>
      <c r="DD36" s="3">
        <v>1</v>
      </c>
      <c r="DE36" s="3">
        <v>1</v>
      </c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19">
        <v>9</v>
      </c>
      <c r="DR36" s="3"/>
      <c r="DS36" s="3"/>
      <c r="DT36" s="3"/>
    </row>
    <row r="37" spans="1:124" ht="15" customHeight="1" x14ac:dyDescent="0.25">
      <c r="A37" s="6" t="s">
        <v>176</v>
      </c>
      <c r="B37" s="2" t="s">
        <v>784</v>
      </c>
      <c r="C37" s="2" t="s">
        <v>900</v>
      </c>
      <c r="D37" s="25" t="s">
        <v>786</v>
      </c>
      <c r="E37" s="4" t="s">
        <v>858</v>
      </c>
      <c r="F37" s="5"/>
      <c r="G37" s="29"/>
      <c r="H37" s="4" t="s">
        <v>76</v>
      </c>
      <c r="I37" s="5"/>
      <c r="J37" s="4" t="s">
        <v>789</v>
      </c>
      <c r="K37" s="4" t="s">
        <v>901</v>
      </c>
      <c r="M37" s="4" t="s">
        <v>902</v>
      </c>
      <c r="N37" s="2" t="s">
        <v>903</v>
      </c>
      <c r="O37" s="28" t="s">
        <v>2382</v>
      </c>
      <c r="P37" s="3">
        <v>7</v>
      </c>
      <c r="Q37" s="27">
        <v>1</v>
      </c>
      <c r="R37" s="3"/>
      <c r="S37" s="3">
        <v>2</v>
      </c>
      <c r="T37" s="3"/>
      <c r="U37" s="3">
        <v>1</v>
      </c>
      <c r="V37" s="3">
        <v>5</v>
      </c>
      <c r="W37" s="3"/>
      <c r="X37" s="3"/>
      <c r="Y37" s="3">
        <v>3</v>
      </c>
      <c r="Z37" s="3">
        <v>2</v>
      </c>
      <c r="AA37" s="3">
        <v>1</v>
      </c>
      <c r="AB37" s="3">
        <v>1</v>
      </c>
      <c r="AC37" s="3"/>
      <c r="AD37" s="3">
        <v>2</v>
      </c>
      <c r="AE37" s="3">
        <v>3</v>
      </c>
      <c r="AF37" s="3">
        <v>1</v>
      </c>
      <c r="AG37" s="3"/>
      <c r="AH37" s="3"/>
      <c r="AI37" s="3"/>
      <c r="AJ37" s="3"/>
      <c r="AK37" s="3"/>
      <c r="AL37" s="3"/>
      <c r="AM37" s="3">
        <v>1</v>
      </c>
      <c r="AN37" s="3"/>
      <c r="AO37" s="3">
        <v>4</v>
      </c>
      <c r="AP37" s="3">
        <v>3</v>
      </c>
      <c r="AQ37" s="3">
        <v>6</v>
      </c>
      <c r="AR37" s="3">
        <v>3</v>
      </c>
      <c r="AS37" s="3">
        <v>7</v>
      </c>
      <c r="AT37" s="3"/>
      <c r="AU37" s="3"/>
      <c r="AV37" s="3"/>
      <c r="AW37" s="3"/>
      <c r="AX37" s="3"/>
      <c r="AY37" s="3"/>
      <c r="AZ37" s="3"/>
      <c r="BA37" s="3"/>
      <c r="BB37" s="3">
        <v>1</v>
      </c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R37" s="3"/>
      <c r="DS37" s="3"/>
      <c r="DT37" s="3"/>
    </row>
    <row r="38" spans="1:124" ht="15" customHeight="1" x14ac:dyDescent="0.25">
      <c r="A38" s="6" t="s">
        <v>177</v>
      </c>
      <c r="B38" s="2" t="s">
        <v>784</v>
      </c>
      <c r="C38" s="2" t="s">
        <v>904</v>
      </c>
      <c r="D38" s="25" t="s">
        <v>786</v>
      </c>
      <c r="E38" s="4" t="s">
        <v>858</v>
      </c>
      <c r="F38" s="5"/>
      <c r="G38" s="29"/>
      <c r="H38" s="4" t="s">
        <v>78</v>
      </c>
      <c r="I38" s="5"/>
      <c r="J38" s="4" t="s">
        <v>789</v>
      </c>
      <c r="K38" s="4" t="s">
        <v>905</v>
      </c>
      <c r="M38" s="4" t="s">
        <v>906</v>
      </c>
      <c r="N38" s="2" t="s">
        <v>907</v>
      </c>
      <c r="O38" s="28" t="s">
        <v>2383</v>
      </c>
      <c r="P38" s="3">
        <v>7</v>
      </c>
      <c r="Q38" s="27">
        <v>1</v>
      </c>
      <c r="R38" s="3"/>
      <c r="S38" s="3">
        <v>2</v>
      </c>
      <c r="T38" s="3"/>
      <c r="U38" s="3">
        <v>9</v>
      </c>
      <c r="V38" s="3">
        <v>5</v>
      </c>
      <c r="W38" s="3"/>
      <c r="X38" s="3"/>
      <c r="Y38" s="3">
        <v>4</v>
      </c>
      <c r="Z38" s="3">
        <v>2</v>
      </c>
      <c r="AA38" s="3">
        <v>1</v>
      </c>
      <c r="AB38" s="3">
        <v>1</v>
      </c>
      <c r="AC38" s="3"/>
      <c r="AD38" s="3">
        <v>2</v>
      </c>
      <c r="AE38" s="3">
        <v>4</v>
      </c>
      <c r="AF38" s="3">
        <v>2</v>
      </c>
      <c r="AG38" s="3">
        <v>1</v>
      </c>
      <c r="AH38" s="3">
        <v>3</v>
      </c>
      <c r="AI38" s="3"/>
      <c r="AJ38" s="3"/>
      <c r="AK38" s="3"/>
      <c r="AL38" s="3"/>
      <c r="AM38" s="3">
        <v>1</v>
      </c>
      <c r="AN38" s="3"/>
      <c r="AO38" s="3">
        <v>4</v>
      </c>
      <c r="AP38" s="3">
        <v>2</v>
      </c>
      <c r="AQ38" s="3">
        <v>3</v>
      </c>
      <c r="AR38" s="3">
        <v>3</v>
      </c>
      <c r="AS38" s="3">
        <v>3</v>
      </c>
      <c r="AT38" s="3"/>
      <c r="AU38" s="3"/>
      <c r="AV38" s="3"/>
      <c r="AW38" s="3"/>
      <c r="AX38" s="3"/>
      <c r="AY38" s="3"/>
      <c r="AZ38" s="3"/>
      <c r="BA38" s="3"/>
      <c r="BB38" s="3">
        <v>9</v>
      </c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R38" s="3"/>
    </row>
    <row r="39" spans="1:124" ht="15" customHeight="1" x14ac:dyDescent="0.25">
      <c r="A39" s="6" t="s">
        <v>178</v>
      </c>
      <c r="B39" s="2" t="s">
        <v>784</v>
      </c>
      <c r="C39" s="2" t="s">
        <v>908</v>
      </c>
      <c r="D39" s="25" t="s">
        <v>786</v>
      </c>
      <c r="E39" s="4" t="s">
        <v>787</v>
      </c>
      <c r="F39" s="4" t="s">
        <v>788</v>
      </c>
      <c r="G39" s="29"/>
      <c r="H39" s="4" t="s">
        <v>79</v>
      </c>
      <c r="I39" s="5"/>
      <c r="J39" s="4" t="s">
        <v>789</v>
      </c>
      <c r="K39" s="4" t="s">
        <v>11</v>
      </c>
      <c r="M39" s="5"/>
      <c r="N39" s="2" t="s">
        <v>909</v>
      </c>
      <c r="O39" s="28" t="s">
        <v>2384</v>
      </c>
      <c r="P39" s="3">
        <v>7</v>
      </c>
      <c r="Q39" s="27">
        <v>2</v>
      </c>
      <c r="R39" s="3"/>
      <c r="S39" s="3">
        <v>2</v>
      </c>
      <c r="T39" s="3"/>
      <c r="U39" s="3">
        <v>1</v>
      </c>
      <c r="V39" s="3">
        <v>5</v>
      </c>
      <c r="W39" s="3"/>
      <c r="X39" s="3"/>
      <c r="Y39" s="3">
        <v>3</v>
      </c>
      <c r="Z39" s="3">
        <v>2</v>
      </c>
      <c r="AA39" s="3">
        <v>1</v>
      </c>
      <c r="AB39" s="3">
        <v>1</v>
      </c>
      <c r="AC39" s="3"/>
      <c r="AD39" s="3">
        <v>2</v>
      </c>
      <c r="AE39" s="3">
        <v>3</v>
      </c>
      <c r="AF39" s="3">
        <v>1</v>
      </c>
      <c r="AG39" s="3"/>
      <c r="AH39" s="3"/>
      <c r="AI39" s="3"/>
      <c r="AJ39" s="3"/>
      <c r="AK39" s="3"/>
      <c r="AL39" s="3"/>
      <c r="AM39" s="3">
        <v>1</v>
      </c>
      <c r="AN39" s="3">
        <v>2</v>
      </c>
      <c r="AO39" s="3">
        <v>4</v>
      </c>
      <c r="AP39" s="3">
        <v>3</v>
      </c>
      <c r="AQ39" s="3">
        <v>5</v>
      </c>
      <c r="AR39" s="3">
        <v>3</v>
      </c>
      <c r="AS39" s="3">
        <v>6</v>
      </c>
      <c r="AT39" s="3"/>
      <c r="AU39" s="3"/>
      <c r="AV39" s="3"/>
      <c r="AW39" s="3"/>
      <c r="AX39" s="3"/>
      <c r="AY39" s="3"/>
      <c r="AZ39" s="3"/>
      <c r="BA39" s="3"/>
      <c r="BB39" s="3">
        <v>1</v>
      </c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R39" s="3"/>
      <c r="DS39" s="3"/>
      <c r="DT39" s="3"/>
    </row>
    <row r="40" spans="1:124" ht="15" customHeight="1" x14ac:dyDescent="0.25">
      <c r="A40" s="6" t="s">
        <v>179</v>
      </c>
      <c r="B40" s="2" t="s">
        <v>784</v>
      </c>
      <c r="C40" s="2" t="s">
        <v>910</v>
      </c>
      <c r="D40" s="25" t="s">
        <v>786</v>
      </c>
      <c r="E40" s="4" t="s">
        <v>787</v>
      </c>
      <c r="F40" s="4" t="s">
        <v>793</v>
      </c>
      <c r="G40" s="26">
        <v>1952</v>
      </c>
      <c r="H40" s="4" t="s">
        <v>80</v>
      </c>
      <c r="I40" s="5"/>
      <c r="J40" s="4" t="s">
        <v>789</v>
      </c>
      <c r="K40" s="4" t="s">
        <v>80</v>
      </c>
      <c r="M40" s="5"/>
      <c r="N40" s="2" t="s">
        <v>911</v>
      </c>
      <c r="O40" s="28" t="s">
        <v>2385</v>
      </c>
      <c r="P40" s="3">
        <v>7</v>
      </c>
      <c r="Q40" s="27">
        <v>2</v>
      </c>
      <c r="R40" s="3"/>
      <c r="S40" s="3">
        <v>2</v>
      </c>
      <c r="T40" s="3"/>
      <c r="U40" s="3">
        <v>1</v>
      </c>
      <c r="V40" s="3">
        <v>4</v>
      </c>
      <c r="W40" s="3"/>
      <c r="X40" s="3"/>
      <c r="Y40" s="3">
        <v>3</v>
      </c>
      <c r="Z40" s="3">
        <v>2</v>
      </c>
      <c r="AA40" s="3">
        <v>1</v>
      </c>
      <c r="AB40" s="3">
        <v>1</v>
      </c>
      <c r="AC40" s="3"/>
      <c r="AD40" s="3">
        <v>3</v>
      </c>
      <c r="AE40" s="3">
        <v>4</v>
      </c>
      <c r="AF40" s="3">
        <v>1</v>
      </c>
      <c r="AG40" s="3"/>
      <c r="AH40" s="3"/>
      <c r="AI40" s="3"/>
      <c r="AJ40" s="3"/>
      <c r="AK40" s="3"/>
      <c r="AL40" s="3"/>
      <c r="AM40" s="3">
        <v>1</v>
      </c>
      <c r="AN40" s="3">
        <v>1</v>
      </c>
      <c r="AO40" s="3">
        <v>5</v>
      </c>
      <c r="AP40" s="3">
        <v>3</v>
      </c>
      <c r="AQ40" s="3">
        <v>4</v>
      </c>
      <c r="AR40" s="3">
        <v>3</v>
      </c>
      <c r="AS40" s="3">
        <v>4</v>
      </c>
      <c r="AT40" s="3"/>
      <c r="AU40" s="3"/>
      <c r="AV40" s="3"/>
      <c r="AW40" s="3"/>
      <c r="AX40" s="3"/>
      <c r="AY40" s="3"/>
      <c r="AZ40" s="3"/>
      <c r="BA40" s="3"/>
      <c r="BB40" s="3">
        <v>1</v>
      </c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>
        <v>1</v>
      </c>
      <c r="BR40" s="3">
        <v>1</v>
      </c>
      <c r="BS40" s="3"/>
      <c r="BT40" s="19">
        <v>1</v>
      </c>
      <c r="BU40" s="3">
        <v>1</v>
      </c>
      <c r="BV40" s="19">
        <v>1</v>
      </c>
      <c r="BW40" s="19">
        <v>1</v>
      </c>
      <c r="BX40" s="19">
        <v>1</v>
      </c>
      <c r="BY40" s="19">
        <v>7</v>
      </c>
      <c r="BZ40" s="19">
        <v>7</v>
      </c>
      <c r="CA40" s="3"/>
      <c r="CB40" s="19">
        <v>1</v>
      </c>
      <c r="CC40" s="19">
        <v>1</v>
      </c>
      <c r="CD40" s="3">
        <v>7</v>
      </c>
      <c r="CE40" s="19">
        <v>2</v>
      </c>
      <c r="CF40" s="3">
        <v>9</v>
      </c>
      <c r="CG40" s="19">
        <v>1</v>
      </c>
      <c r="CH40" s="3"/>
      <c r="CI40" s="3">
        <v>5</v>
      </c>
      <c r="CJ40" s="3">
        <v>1</v>
      </c>
      <c r="CK40" s="3">
        <v>7</v>
      </c>
      <c r="CL40" s="3">
        <v>8</v>
      </c>
      <c r="CM40" s="3"/>
      <c r="CN40" s="3"/>
      <c r="CO40" s="3"/>
      <c r="CP40" s="3"/>
      <c r="CT40" s="3">
        <v>5</v>
      </c>
      <c r="CU40" s="3">
        <v>1</v>
      </c>
      <c r="CV40" s="3">
        <v>5</v>
      </c>
      <c r="CW40" s="3">
        <v>9</v>
      </c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R40" s="3"/>
      <c r="DS40" s="3"/>
      <c r="DT40" s="3"/>
    </row>
    <row r="41" spans="1:124" ht="15" customHeight="1" x14ac:dyDescent="0.25">
      <c r="A41" s="6" t="s">
        <v>180</v>
      </c>
      <c r="B41" s="2" t="s">
        <v>784</v>
      </c>
      <c r="C41" s="2" t="s">
        <v>912</v>
      </c>
      <c r="D41" s="25" t="s">
        <v>786</v>
      </c>
      <c r="E41" s="4" t="s">
        <v>787</v>
      </c>
      <c r="F41" s="4" t="s">
        <v>788</v>
      </c>
      <c r="G41" s="26">
        <v>1976</v>
      </c>
      <c r="H41" s="4" t="s">
        <v>81</v>
      </c>
      <c r="I41" s="5"/>
      <c r="J41" s="4" t="s">
        <v>789</v>
      </c>
      <c r="K41" s="4" t="s">
        <v>81</v>
      </c>
      <c r="M41" s="4" t="s">
        <v>913</v>
      </c>
      <c r="N41" s="2" t="s">
        <v>914</v>
      </c>
      <c r="O41" s="28" t="s">
        <v>2386</v>
      </c>
      <c r="P41" s="3">
        <v>7</v>
      </c>
      <c r="Q41" s="27">
        <v>2</v>
      </c>
      <c r="R41" s="3"/>
      <c r="S41" s="3">
        <v>2</v>
      </c>
      <c r="T41" s="3"/>
      <c r="U41" s="3">
        <v>1</v>
      </c>
      <c r="V41" s="3">
        <v>4</v>
      </c>
      <c r="W41" s="3"/>
      <c r="X41" s="3"/>
      <c r="Y41" s="3">
        <v>3</v>
      </c>
      <c r="Z41" s="3">
        <v>2</v>
      </c>
      <c r="AA41" s="3">
        <v>1</v>
      </c>
      <c r="AB41" s="3">
        <v>2</v>
      </c>
      <c r="AC41" s="3"/>
      <c r="AD41" s="3">
        <v>2</v>
      </c>
      <c r="AE41" s="3">
        <v>4</v>
      </c>
      <c r="AF41" s="3">
        <v>1</v>
      </c>
      <c r="AG41" s="3">
        <v>0</v>
      </c>
      <c r="AH41" s="3">
        <v>0</v>
      </c>
      <c r="AI41" s="3"/>
      <c r="AJ41" s="3"/>
      <c r="AK41" s="3"/>
      <c r="AL41" s="3"/>
      <c r="AM41" s="3">
        <v>3</v>
      </c>
      <c r="AN41" s="3">
        <v>2</v>
      </c>
      <c r="AO41" s="3">
        <v>6</v>
      </c>
      <c r="AP41" s="3">
        <v>3</v>
      </c>
      <c r="AQ41" s="3">
        <v>6</v>
      </c>
      <c r="AR41" s="3">
        <v>4</v>
      </c>
      <c r="AS41" s="3">
        <v>5</v>
      </c>
      <c r="AT41" s="3"/>
      <c r="AU41" s="3"/>
      <c r="AV41" s="3"/>
      <c r="AW41" s="3"/>
      <c r="AX41" s="3"/>
      <c r="AY41" s="3"/>
      <c r="AZ41" s="3"/>
      <c r="BA41" s="3"/>
      <c r="BB41" s="3">
        <v>1</v>
      </c>
      <c r="BC41" s="3"/>
      <c r="BD41" s="3"/>
      <c r="BE41" s="3"/>
      <c r="BF41" s="3"/>
      <c r="BG41" s="3">
        <v>9</v>
      </c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>
        <v>9</v>
      </c>
      <c r="BS41" s="3"/>
      <c r="BT41" s="19">
        <v>9</v>
      </c>
      <c r="BU41" s="3">
        <v>9</v>
      </c>
      <c r="BV41" s="19">
        <v>9</v>
      </c>
      <c r="BW41" s="19">
        <v>9</v>
      </c>
      <c r="BX41" s="19">
        <v>1</v>
      </c>
      <c r="BY41" s="19">
        <v>9</v>
      </c>
      <c r="BZ41" s="19">
        <v>9</v>
      </c>
      <c r="CA41" s="19">
        <v>9</v>
      </c>
      <c r="CB41" s="19">
        <v>9</v>
      </c>
      <c r="CC41" s="19">
        <v>9</v>
      </c>
      <c r="CD41" s="3">
        <v>9</v>
      </c>
      <c r="CE41" s="19">
        <v>8</v>
      </c>
      <c r="CF41" s="3">
        <v>9</v>
      </c>
      <c r="CG41" s="19">
        <v>9</v>
      </c>
      <c r="CH41" s="3">
        <v>9</v>
      </c>
      <c r="CI41" s="3">
        <v>9</v>
      </c>
      <c r="CJ41" s="3">
        <v>9</v>
      </c>
      <c r="CK41" s="3">
        <v>8</v>
      </c>
      <c r="CL41" s="3">
        <v>9</v>
      </c>
      <c r="CM41" s="3"/>
      <c r="CN41" s="3"/>
      <c r="CO41" s="3"/>
      <c r="CP41" s="3"/>
      <c r="CT41" s="3">
        <v>9</v>
      </c>
      <c r="CU41" s="3">
        <v>9</v>
      </c>
      <c r="CV41" s="3">
        <v>9</v>
      </c>
      <c r="CW41" s="3">
        <v>9</v>
      </c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>
        <v>9</v>
      </c>
      <c r="DR41" s="3"/>
      <c r="DS41" s="3"/>
      <c r="DT41" s="3"/>
    </row>
    <row r="42" spans="1:124" ht="15" customHeight="1" x14ac:dyDescent="0.25">
      <c r="A42" s="6" t="s">
        <v>181</v>
      </c>
      <c r="B42" s="2" t="s">
        <v>784</v>
      </c>
      <c r="C42" s="2" t="s">
        <v>915</v>
      </c>
      <c r="D42" s="25" t="s">
        <v>786</v>
      </c>
      <c r="E42" s="4" t="s">
        <v>858</v>
      </c>
      <c r="F42" s="4" t="s">
        <v>854</v>
      </c>
      <c r="G42" s="29"/>
      <c r="H42" s="4" t="s">
        <v>83</v>
      </c>
      <c r="I42" s="5"/>
      <c r="J42" s="4" t="s">
        <v>789</v>
      </c>
      <c r="M42" s="4" t="s">
        <v>916</v>
      </c>
      <c r="N42" s="2" t="s">
        <v>917</v>
      </c>
      <c r="O42" s="28" t="s">
        <v>2387</v>
      </c>
      <c r="P42" s="3">
        <v>6</v>
      </c>
      <c r="Q42" s="27">
        <v>1</v>
      </c>
      <c r="R42" s="3"/>
      <c r="S42" s="3">
        <v>2</v>
      </c>
      <c r="T42" s="3"/>
      <c r="U42" s="3">
        <v>9</v>
      </c>
      <c r="V42" s="3">
        <v>5</v>
      </c>
      <c r="W42" s="3"/>
      <c r="X42" s="3"/>
      <c r="Y42" s="3">
        <v>4</v>
      </c>
      <c r="Z42" s="3">
        <v>2</v>
      </c>
      <c r="AA42" s="3">
        <v>1</v>
      </c>
      <c r="AB42" s="3">
        <v>1</v>
      </c>
      <c r="AC42" s="3"/>
      <c r="AD42" s="3">
        <v>2</v>
      </c>
      <c r="AE42" s="3">
        <v>3</v>
      </c>
      <c r="AF42" s="3">
        <v>2</v>
      </c>
      <c r="AG42" s="3">
        <v>1</v>
      </c>
      <c r="AH42" s="3">
        <v>1</v>
      </c>
      <c r="AI42" s="3"/>
      <c r="AJ42" s="3"/>
      <c r="AK42" s="3"/>
      <c r="AL42" s="3"/>
      <c r="AM42" s="3">
        <v>2</v>
      </c>
      <c r="AN42" s="3"/>
      <c r="AO42" s="3">
        <v>4</v>
      </c>
      <c r="AP42" s="3">
        <v>3</v>
      </c>
      <c r="AQ42" s="3">
        <v>6</v>
      </c>
      <c r="AR42" s="3">
        <v>3</v>
      </c>
      <c r="AS42" s="3">
        <v>7</v>
      </c>
      <c r="AT42" s="3"/>
      <c r="AU42" s="3"/>
      <c r="AV42" s="3"/>
      <c r="AW42" s="3"/>
      <c r="AX42" s="3"/>
      <c r="AY42" s="3"/>
      <c r="AZ42" s="3"/>
      <c r="BA42" s="3"/>
      <c r="BB42" s="3">
        <v>9</v>
      </c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>
        <v>9</v>
      </c>
      <c r="BR42" s="3">
        <v>9</v>
      </c>
      <c r="BS42" s="3">
        <v>9</v>
      </c>
      <c r="BT42" s="3">
        <v>9</v>
      </c>
      <c r="BU42" s="3">
        <v>9</v>
      </c>
      <c r="BV42" s="3">
        <v>9</v>
      </c>
      <c r="BW42" s="3">
        <v>9</v>
      </c>
      <c r="BX42" s="3">
        <v>9</v>
      </c>
      <c r="BY42" s="3">
        <v>9</v>
      </c>
      <c r="BZ42" s="3">
        <v>9</v>
      </c>
      <c r="CA42" s="3">
        <v>1</v>
      </c>
      <c r="CB42" s="3">
        <v>9</v>
      </c>
      <c r="CC42" s="3">
        <v>9</v>
      </c>
      <c r="CD42" s="3">
        <v>9</v>
      </c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T42" s="3"/>
      <c r="CU42" s="3"/>
      <c r="CV42" s="3"/>
      <c r="CW42" s="3"/>
      <c r="CX42" s="3"/>
      <c r="CY42" s="3"/>
      <c r="CZ42" s="3">
        <v>1</v>
      </c>
      <c r="DA42" s="3">
        <v>1</v>
      </c>
      <c r="DB42" s="3">
        <v>9</v>
      </c>
      <c r="DC42" s="3">
        <v>1</v>
      </c>
      <c r="DD42" s="3">
        <v>1</v>
      </c>
      <c r="DE42" s="3">
        <v>9</v>
      </c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R42" s="3"/>
    </row>
    <row r="43" spans="1:124" ht="15" customHeight="1" x14ac:dyDescent="0.25">
      <c r="A43" s="6" t="s">
        <v>182</v>
      </c>
      <c r="B43" s="2" t="s">
        <v>784</v>
      </c>
      <c r="C43" s="2" t="s">
        <v>918</v>
      </c>
      <c r="D43" s="25" t="s">
        <v>786</v>
      </c>
      <c r="E43" s="4" t="s">
        <v>787</v>
      </c>
      <c r="F43" s="4" t="s">
        <v>919</v>
      </c>
      <c r="G43" s="29"/>
      <c r="H43" s="4" t="s">
        <v>84</v>
      </c>
      <c r="I43" s="4" t="s">
        <v>920</v>
      </c>
      <c r="J43" s="4" t="s">
        <v>789</v>
      </c>
      <c r="K43" s="4" t="s">
        <v>921</v>
      </c>
      <c r="L43" s="2" t="s">
        <v>790</v>
      </c>
      <c r="M43" s="5"/>
      <c r="N43" s="2" t="s">
        <v>922</v>
      </c>
      <c r="O43" s="28" t="s">
        <v>2388</v>
      </c>
      <c r="P43" s="3">
        <v>6</v>
      </c>
      <c r="Q43" s="27">
        <v>2</v>
      </c>
      <c r="R43" s="3"/>
      <c r="S43" s="3">
        <v>2</v>
      </c>
      <c r="T43" s="3"/>
      <c r="U43" s="3"/>
      <c r="V43" s="3">
        <v>5</v>
      </c>
      <c r="W43" s="3"/>
      <c r="X43" s="3"/>
      <c r="Y43" s="3">
        <v>4</v>
      </c>
      <c r="Z43" s="3">
        <v>2</v>
      </c>
      <c r="AA43" s="3">
        <v>1</v>
      </c>
      <c r="AB43" s="3">
        <v>1</v>
      </c>
      <c r="AC43" s="3"/>
      <c r="AD43" s="3">
        <v>2</v>
      </c>
      <c r="AE43" s="3">
        <v>4</v>
      </c>
      <c r="AF43" s="3">
        <v>2</v>
      </c>
      <c r="AG43" s="3">
        <v>1</v>
      </c>
      <c r="AH43" s="3">
        <v>1</v>
      </c>
      <c r="AI43" s="3"/>
      <c r="AJ43" s="3"/>
      <c r="AK43" s="3"/>
      <c r="AL43" s="3"/>
      <c r="AM43" s="3">
        <v>1</v>
      </c>
      <c r="AN43" s="3">
        <v>4</v>
      </c>
      <c r="AO43" s="3">
        <v>4</v>
      </c>
      <c r="AP43" s="3"/>
      <c r="AQ43" s="3">
        <v>4</v>
      </c>
      <c r="AR43" s="3">
        <v>2</v>
      </c>
      <c r="AS43" s="3">
        <v>8</v>
      </c>
      <c r="AT43" s="3"/>
      <c r="AU43" s="3">
        <v>105</v>
      </c>
      <c r="AV43" s="3"/>
      <c r="AW43" s="3"/>
      <c r="AX43" s="3"/>
      <c r="AY43" s="3"/>
      <c r="AZ43" s="3"/>
      <c r="BA43" s="3"/>
      <c r="BB43" s="3">
        <v>9</v>
      </c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>
        <v>9</v>
      </c>
      <c r="BR43" s="3">
        <v>9</v>
      </c>
      <c r="BS43" s="3">
        <v>9</v>
      </c>
      <c r="BT43" s="19">
        <v>1</v>
      </c>
      <c r="BU43" s="3">
        <v>5</v>
      </c>
      <c r="BV43" s="19">
        <v>7</v>
      </c>
      <c r="BW43" s="19">
        <v>9</v>
      </c>
      <c r="BX43" s="19">
        <v>9</v>
      </c>
      <c r="BY43" s="3"/>
      <c r="BZ43" s="19">
        <v>9</v>
      </c>
      <c r="CA43" s="19">
        <v>9</v>
      </c>
      <c r="CB43" s="19">
        <v>7</v>
      </c>
      <c r="CC43" s="19">
        <v>9</v>
      </c>
      <c r="CD43" s="3">
        <v>9</v>
      </c>
      <c r="CE43" s="19">
        <v>9</v>
      </c>
      <c r="CF43" s="3">
        <v>9</v>
      </c>
      <c r="CG43" s="3"/>
      <c r="CH43" s="3">
        <v>9</v>
      </c>
      <c r="CI43" s="3">
        <v>9</v>
      </c>
      <c r="CJ43" s="3">
        <v>9</v>
      </c>
      <c r="CK43" s="3">
        <v>9</v>
      </c>
      <c r="CL43" s="3">
        <v>9</v>
      </c>
      <c r="CM43" s="19">
        <v>9</v>
      </c>
      <c r="CN43" s="3"/>
      <c r="CO43" s="3"/>
      <c r="CP43" s="3"/>
      <c r="CT43" s="3">
        <v>9</v>
      </c>
      <c r="CU43" s="3">
        <v>6</v>
      </c>
      <c r="CV43" s="3">
        <v>5</v>
      </c>
      <c r="CW43" s="3">
        <v>9</v>
      </c>
      <c r="CX43" s="3">
        <v>9</v>
      </c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R43" s="3"/>
    </row>
    <row r="44" spans="1:124" ht="15" customHeight="1" x14ac:dyDescent="0.25">
      <c r="A44" s="6" t="s">
        <v>183</v>
      </c>
      <c r="B44" s="2" t="s">
        <v>784</v>
      </c>
      <c r="C44" s="2" t="s">
        <v>923</v>
      </c>
      <c r="D44" s="25" t="s">
        <v>786</v>
      </c>
      <c r="E44" s="4" t="s">
        <v>787</v>
      </c>
      <c r="F44" s="4" t="s">
        <v>793</v>
      </c>
      <c r="G44" s="26">
        <v>1880</v>
      </c>
      <c r="H44" s="4" t="s">
        <v>85</v>
      </c>
      <c r="I44" s="5"/>
      <c r="J44" s="4" t="s">
        <v>789</v>
      </c>
      <c r="K44" s="4" t="s">
        <v>924</v>
      </c>
      <c r="M44" s="4" t="s">
        <v>925</v>
      </c>
      <c r="N44" s="2" t="s">
        <v>926</v>
      </c>
      <c r="O44" s="28" t="s">
        <v>2389</v>
      </c>
      <c r="P44" s="3">
        <v>7</v>
      </c>
      <c r="Q44" s="27">
        <v>1</v>
      </c>
      <c r="R44" s="3"/>
      <c r="S44" s="3">
        <v>2</v>
      </c>
      <c r="T44" s="3"/>
      <c r="U44" s="3">
        <v>1</v>
      </c>
      <c r="V44" s="3">
        <v>4</v>
      </c>
      <c r="W44" s="3"/>
      <c r="X44" s="3"/>
      <c r="Y44" s="3">
        <v>6</v>
      </c>
      <c r="Z44" s="3">
        <v>2</v>
      </c>
      <c r="AA44" s="3">
        <v>1</v>
      </c>
      <c r="AB44" s="3">
        <v>1</v>
      </c>
      <c r="AC44" s="3"/>
      <c r="AD44" s="3">
        <v>1</v>
      </c>
      <c r="AE44" s="3">
        <v>5</v>
      </c>
      <c r="AF44" s="3">
        <v>1</v>
      </c>
      <c r="AG44" s="3">
        <v>0</v>
      </c>
      <c r="AH44" s="3">
        <v>0</v>
      </c>
      <c r="AI44" s="3"/>
      <c r="AJ44" s="3"/>
      <c r="AK44" s="3"/>
      <c r="AL44" s="3"/>
      <c r="AM44" s="3">
        <v>1</v>
      </c>
      <c r="AN44" s="3"/>
      <c r="AO44" s="3">
        <v>6</v>
      </c>
      <c r="AP44" s="3">
        <v>3</v>
      </c>
      <c r="AQ44" s="3">
        <v>6</v>
      </c>
      <c r="AR44" s="3">
        <v>4</v>
      </c>
      <c r="AS44" s="3">
        <v>5</v>
      </c>
      <c r="AT44" s="3"/>
      <c r="AU44" s="3"/>
      <c r="AV44" s="3"/>
      <c r="AW44" s="3"/>
      <c r="AX44" s="3"/>
      <c r="AY44" s="3"/>
      <c r="AZ44" s="3"/>
      <c r="BA44" s="3"/>
      <c r="BB44" s="3">
        <v>1</v>
      </c>
      <c r="BC44" s="3">
        <v>115</v>
      </c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>
        <v>1</v>
      </c>
      <c r="BR44" s="3">
        <v>9</v>
      </c>
      <c r="BS44" s="3">
        <v>9</v>
      </c>
      <c r="BT44" s="19">
        <v>9</v>
      </c>
      <c r="BU44" s="3">
        <v>1</v>
      </c>
      <c r="BV44" s="19">
        <v>9</v>
      </c>
      <c r="BW44" s="19">
        <v>1</v>
      </c>
      <c r="BX44" s="19">
        <v>9</v>
      </c>
      <c r="BY44" s="3"/>
      <c r="BZ44" s="19">
        <v>7</v>
      </c>
      <c r="CA44" s="3"/>
      <c r="CB44" s="19">
        <v>7</v>
      </c>
      <c r="CC44" s="19">
        <v>1</v>
      </c>
      <c r="CD44" s="3">
        <v>1</v>
      </c>
      <c r="CE44" s="19">
        <v>3</v>
      </c>
      <c r="CF44" s="3">
        <v>1</v>
      </c>
      <c r="CG44" s="3"/>
      <c r="CH44" s="3">
        <v>1</v>
      </c>
      <c r="CI44" s="3">
        <v>1</v>
      </c>
      <c r="CJ44" s="3">
        <v>9</v>
      </c>
      <c r="CK44" s="3">
        <v>1</v>
      </c>
      <c r="CL44" s="3">
        <v>1</v>
      </c>
      <c r="CM44" s="3"/>
      <c r="CN44" s="3"/>
      <c r="CO44" s="3"/>
      <c r="CP44" s="3"/>
      <c r="CT44" s="3">
        <v>9</v>
      </c>
      <c r="CU44" s="3">
        <v>3</v>
      </c>
      <c r="CV44" s="3">
        <v>9</v>
      </c>
      <c r="CW44" s="3">
        <v>9</v>
      </c>
      <c r="CX44" s="3">
        <v>9</v>
      </c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R44" s="3"/>
    </row>
    <row r="45" spans="1:124" ht="15" customHeight="1" x14ac:dyDescent="0.25">
      <c r="A45" s="6" t="s">
        <v>184</v>
      </c>
      <c r="B45" s="2" t="s">
        <v>784</v>
      </c>
      <c r="C45" s="2" t="s">
        <v>927</v>
      </c>
      <c r="D45" s="25" t="s">
        <v>786</v>
      </c>
      <c r="E45" s="4" t="s">
        <v>787</v>
      </c>
      <c r="F45" s="4" t="s">
        <v>809</v>
      </c>
      <c r="G45" s="26">
        <v>1957</v>
      </c>
      <c r="H45" s="4" t="s">
        <v>90</v>
      </c>
      <c r="I45" s="5"/>
      <c r="J45" s="4" t="s">
        <v>789</v>
      </c>
      <c r="K45" s="4" t="s">
        <v>90</v>
      </c>
      <c r="M45" s="5"/>
      <c r="N45" s="2" t="s">
        <v>928</v>
      </c>
      <c r="O45" s="28" t="s">
        <v>2390</v>
      </c>
      <c r="P45" s="3">
        <v>7</v>
      </c>
      <c r="Q45" s="27">
        <v>1</v>
      </c>
      <c r="R45" s="3"/>
      <c r="S45" s="3">
        <v>2</v>
      </c>
      <c r="T45" s="3"/>
      <c r="U45" s="3">
        <v>1</v>
      </c>
      <c r="V45" s="3">
        <v>5</v>
      </c>
      <c r="W45" s="3"/>
      <c r="X45" s="3"/>
      <c r="Y45" s="3">
        <v>3</v>
      </c>
      <c r="Z45" s="3">
        <v>2</v>
      </c>
      <c r="AA45" s="3">
        <v>1</v>
      </c>
      <c r="AB45" s="3">
        <v>1</v>
      </c>
      <c r="AC45" s="3"/>
      <c r="AD45" s="3">
        <v>1</v>
      </c>
      <c r="AE45" s="3">
        <v>4</v>
      </c>
      <c r="AF45" s="3">
        <v>1</v>
      </c>
      <c r="AG45" s="3">
        <v>0</v>
      </c>
      <c r="AH45" s="3">
        <v>0</v>
      </c>
      <c r="AI45" s="3"/>
      <c r="AJ45" s="3"/>
      <c r="AK45" s="3"/>
      <c r="AL45" s="3"/>
      <c r="AM45" s="3">
        <v>1</v>
      </c>
      <c r="AN45" s="3">
        <v>1</v>
      </c>
      <c r="AO45" s="3">
        <v>4</v>
      </c>
      <c r="AP45" s="3">
        <v>3</v>
      </c>
      <c r="AQ45" s="3">
        <v>6</v>
      </c>
      <c r="AR45" s="3">
        <v>2</v>
      </c>
      <c r="AS45" s="3">
        <v>7</v>
      </c>
      <c r="AT45" s="3"/>
      <c r="AU45" s="3"/>
      <c r="AV45" s="3"/>
      <c r="AW45" s="3"/>
      <c r="AX45" s="3"/>
      <c r="AY45" s="3"/>
      <c r="AZ45" s="3"/>
      <c r="BA45" s="3">
        <v>1</v>
      </c>
      <c r="BB45" s="3">
        <v>1</v>
      </c>
      <c r="BC45" s="3">
        <v>115</v>
      </c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>
        <v>1</v>
      </c>
      <c r="BR45" s="3"/>
      <c r="BS45" s="3">
        <v>1</v>
      </c>
      <c r="BT45" s="3"/>
      <c r="BU45" s="3"/>
      <c r="BV45" s="3"/>
      <c r="BW45" s="3"/>
      <c r="BX45" s="3"/>
      <c r="BY45" s="3"/>
      <c r="BZ45" s="3">
        <v>1</v>
      </c>
      <c r="CA45" s="3"/>
      <c r="CB45" s="3"/>
      <c r="CC45" s="3">
        <v>9</v>
      </c>
      <c r="CD45" s="3">
        <v>9</v>
      </c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R45" s="3"/>
    </row>
    <row r="46" spans="1:124" ht="15" customHeight="1" x14ac:dyDescent="0.25">
      <c r="A46" s="6" t="s">
        <v>185</v>
      </c>
      <c r="B46" s="2" t="s">
        <v>784</v>
      </c>
      <c r="C46" s="2" t="s">
        <v>929</v>
      </c>
      <c r="D46" s="25" t="s">
        <v>786</v>
      </c>
      <c r="E46" s="4" t="s">
        <v>787</v>
      </c>
      <c r="F46" s="4" t="s">
        <v>793</v>
      </c>
      <c r="G46" s="26">
        <v>1979</v>
      </c>
      <c r="H46" s="4" t="s">
        <v>96</v>
      </c>
      <c r="I46" s="5"/>
      <c r="J46" s="4" t="s">
        <v>789</v>
      </c>
      <c r="K46" s="4" t="s">
        <v>96</v>
      </c>
      <c r="M46" s="5"/>
      <c r="N46" s="2" t="s">
        <v>930</v>
      </c>
      <c r="O46" s="28" t="s">
        <v>2391</v>
      </c>
      <c r="P46" s="3">
        <v>7</v>
      </c>
      <c r="Q46" s="27">
        <v>2</v>
      </c>
      <c r="R46" s="3"/>
      <c r="S46" s="3">
        <v>2</v>
      </c>
      <c r="T46" s="3"/>
      <c r="U46" s="3">
        <v>1</v>
      </c>
      <c r="V46" s="3">
        <v>4</v>
      </c>
      <c r="W46" s="3"/>
      <c r="X46" s="3"/>
      <c r="Y46" s="3">
        <v>4</v>
      </c>
      <c r="Z46" s="3">
        <v>3</v>
      </c>
      <c r="AA46" s="3">
        <v>1</v>
      </c>
      <c r="AB46" s="3">
        <v>1</v>
      </c>
      <c r="AC46" s="3"/>
      <c r="AD46" s="3">
        <v>2</v>
      </c>
      <c r="AE46" s="3">
        <v>3</v>
      </c>
      <c r="AF46" s="3">
        <v>1</v>
      </c>
      <c r="AG46" s="3"/>
      <c r="AH46" s="3"/>
      <c r="AI46" s="3"/>
      <c r="AJ46" s="3"/>
      <c r="AK46" s="3"/>
      <c r="AL46" s="3"/>
      <c r="AM46" s="3">
        <v>1</v>
      </c>
      <c r="AN46" s="3">
        <v>2</v>
      </c>
      <c r="AO46" s="3">
        <v>5</v>
      </c>
      <c r="AP46" s="3">
        <v>3</v>
      </c>
      <c r="AQ46" s="3">
        <v>6</v>
      </c>
      <c r="AR46" s="3">
        <v>3</v>
      </c>
      <c r="AS46" s="3">
        <v>7</v>
      </c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R46" s="3"/>
    </row>
    <row r="47" spans="1:124" ht="15" customHeight="1" x14ac:dyDescent="0.25">
      <c r="A47" s="6" t="s">
        <v>186</v>
      </c>
      <c r="B47" s="2" t="s">
        <v>784</v>
      </c>
      <c r="C47" s="2" t="s">
        <v>931</v>
      </c>
      <c r="D47" s="25" t="s">
        <v>786</v>
      </c>
      <c r="E47" s="4" t="s">
        <v>787</v>
      </c>
      <c r="F47" s="4" t="s">
        <v>788</v>
      </c>
      <c r="G47" s="26">
        <v>1984</v>
      </c>
      <c r="H47" s="4" t="s">
        <v>97</v>
      </c>
      <c r="I47" s="4" t="s">
        <v>932</v>
      </c>
      <c r="J47" s="4" t="s">
        <v>789</v>
      </c>
      <c r="K47" s="4" t="s">
        <v>11</v>
      </c>
      <c r="L47" s="2" t="s">
        <v>802</v>
      </c>
      <c r="M47" s="5"/>
      <c r="N47" s="2" t="s">
        <v>933</v>
      </c>
      <c r="O47" s="28" t="s">
        <v>2392</v>
      </c>
      <c r="P47" s="3">
        <v>7</v>
      </c>
      <c r="Q47" s="27">
        <v>1</v>
      </c>
      <c r="R47" s="3"/>
      <c r="S47" s="3">
        <v>2</v>
      </c>
      <c r="T47" s="3"/>
      <c r="U47" s="3">
        <v>1</v>
      </c>
      <c r="V47" s="3">
        <v>5</v>
      </c>
      <c r="W47" s="3"/>
      <c r="X47" s="19"/>
      <c r="Y47" s="3">
        <v>3</v>
      </c>
      <c r="Z47" s="3">
        <v>2</v>
      </c>
      <c r="AA47" s="3">
        <v>1</v>
      </c>
      <c r="AB47" s="3">
        <v>1</v>
      </c>
      <c r="AC47" s="3"/>
      <c r="AD47" s="3">
        <v>2</v>
      </c>
      <c r="AE47" s="3">
        <v>2</v>
      </c>
      <c r="AF47" s="3">
        <v>1</v>
      </c>
      <c r="AG47" s="3"/>
      <c r="AH47" s="3"/>
      <c r="AI47" s="3"/>
      <c r="AJ47" s="3"/>
      <c r="AK47" s="3"/>
      <c r="AL47" s="3"/>
      <c r="AM47" s="3">
        <v>1</v>
      </c>
      <c r="AN47" s="3">
        <v>2</v>
      </c>
      <c r="AO47" s="3">
        <v>6</v>
      </c>
      <c r="AP47" s="3">
        <v>3</v>
      </c>
      <c r="AQ47" s="3">
        <v>5</v>
      </c>
      <c r="AR47" s="3">
        <v>3</v>
      </c>
      <c r="AS47" s="3">
        <v>7</v>
      </c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>
        <v>1</v>
      </c>
      <c r="BR47" s="3">
        <v>1</v>
      </c>
      <c r="BS47" s="3">
        <v>1</v>
      </c>
      <c r="BT47" s="19">
        <v>1</v>
      </c>
      <c r="BU47" s="3">
        <v>1</v>
      </c>
      <c r="BV47" s="19">
        <v>1</v>
      </c>
      <c r="BW47" s="19">
        <v>1</v>
      </c>
      <c r="BX47" s="19">
        <v>1</v>
      </c>
      <c r="BY47" s="3"/>
      <c r="BZ47" s="19">
        <v>1</v>
      </c>
      <c r="CA47" s="19">
        <v>1</v>
      </c>
      <c r="CB47" s="19">
        <v>1</v>
      </c>
      <c r="CC47" s="19">
        <v>1</v>
      </c>
      <c r="CD47" s="3">
        <v>1</v>
      </c>
      <c r="CE47" s="19">
        <v>9</v>
      </c>
      <c r="CF47" s="3">
        <v>9</v>
      </c>
      <c r="CG47" s="3"/>
      <c r="CH47" s="3">
        <v>9</v>
      </c>
      <c r="CI47" s="3">
        <v>1</v>
      </c>
      <c r="CJ47" s="3">
        <v>9</v>
      </c>
      <c r="CK47" s="3">
        <v>1</v>
      </c>
      <c r="CL47" s="3">
        <v>9</v>
      </c>
      <c r="CM47" s="3"/>
      <c r="CN47" s="3"/>
      <c r="CO47" s="3"/>
      <c r="CP47" s="3"/>
      <c r="CT47" s="3">
        <v>1</v>
      </c>
      <c r="CU47" s="3">
        <v>1</v>
      </c>
      <c r="CV47" s="3">
        <v>1</v>
      </c>
      <c r="CW47" s="3">
        <v>1</v>
      </c>
      <c r="CX47" s="3">
        <v>1</v>
      </c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R47" s="3"/>
    </row>
    <row r="48" spans="1:124" ht="15" customHeight="1" x14ac:dyDescent="0.25">
      <c r="A48" s="6" t="s">
        <v>187</v>
      </c>
      <c r="B48" s="2" t="s">
        <v>784</v>
      </c>
      <c r="C48" s="2" t="s">
        <v>934</v>
      </c>
      <c r="D48" s="25" t="s">
        <v>786</v>
      </c>
      <c r="E48" s="4" t="s">
        <v>787</v>
      </c>
      <c r="F48" s="4" t="s">
        <v>854</v>
      </c>
      <c r="G48" s="26">
        <v>1974</v>
      </c>
      <c r="H48" s="4" t="s">
        <v>98</v>
      </c>
      <c r="I48" s="5"/>
      <c r="J48" s="4" t="s">
        <v>789</v>
      </c>
      <c r="K48" s="4" t="s">
        <v>935</v>
      </c>
      <c r="M48" s="5"/>
      <c r="N48" s="2" t="s">
        <v>936</v>
      </c>
      <c r="O48" s="28" t="s">
        <v>2393</v>
      </c>
      <c r="P48" s="3">
        <v>7</v>
      </c>
      <c r="Q48" s="27">
        <v>1</v>
      </c>
      <c r="R48" s="3"/>
      <c r="S48" s="3">
        <v>2</v>
      </c>
      <c r="T48" s="3"/>
      <c r="U48" s="3">
        <v>1</v>
      </c>
      <c r="V48" s="3">
        <v>5</v>
      </c>
      <c r="W48" s="3"/>
      <c r="X48" s="3"/>
      <c r="Y48" s="3">
        <v>4</v>
      </c>
      <c r="Z48" s="3">
        <v>3</v>
      </c>
      <c r="AA48" s="3">
        <v>1</v>
      </c>
      <c r="AB48" s="3">
        <v>1</v>
      </c>
      <c r="AC48" s="3"/>
      <c r="AD48" s="3">
        <v>2</v>
      </c>
      <c r="AE48" s="3">
        <v>4</v>
      </c>
      <c r="AF48" s="3">
        <v>1</v>
      </c>
      <c r="AG48" s="3"/>
      <c r="AH48" s="3"/>
      <c r="AI48" s="3"/>
      <c r="AJ48" s="3"/>
      <c r="AK48" s="3"/>
      <c r="AL48" s="3"/>
      <c r="AM48" s="3">
        <v>1</v>
      </c>
      <c r="AN48" s="3">
        <v>1</v>
      </c>
      <c r="AO48" s="3">
        <v>4</v>
      </c>
      <c r="AP48" s="3">
        <v>3</v>
      </c>
      <c r="AQ48" s="3">
        <v>6</v>
      </c>
      <c r="AR48" s="3">
        <v>3</v>
      </c>
      <c r="AS48" s="3">
        <v>5</v>
      </c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>
        <v>4</v>
      </c>
      <c r="BL48" s="3"/>
      <c r="BM48" s="3"/>
      <c r="BN48" s="3"/>
      <c r="BO48" s="3"/>
      <c r="BP48" s="3"/>
      <c r="BQ48" s="3">
        <v>1</v>
      </c>
      <c r="BR48" s="3">
        <v>1</v>
      </c>
      <c r="BS48" s="3"/>
      <c r="BT48" s="19">
        <v>1</v>
      </c>
      <c r="BU48" s="3">
        <v>1</v>
      </c>
      <c r="BV48" s="19">
        <v>1</v>
      </c>
      <c r="BW48" s="19">
        <v>1</v>
      </c>
      <c r="BX48" s="19">
        <v>7</v>
      </c>
      <c r="BY48" s="19">
        <v>3</v>
      </c>
      <c r="BZ48" s="19">
        <v>1</v>
      </c>
      <c r="CA48" s="19">
        <v>9</v>
      </c>
      <c r="CB48" s="19">
        <v>1</v>
      </c>
      <c r="CC48" s="19">
        <v>9</v>
      </c>
      <c r="CD48" s="3">
        <v>9</v>
      </c>
      <c r="CE48" s="19">
        <v>1</v>
      </c>
      <c r="CF48" s="3">
        <v>1</v>
      </c>
      <c r="CG48" s="19">
        <v>1</v>
      </c>
      <c r="CH48" s="3">
        <v>9</v>
      </c>
      <c r="CI48" s="3">
        <v>9</v>
      </c>
      <c r="CJ48" s="3">
        <v>2</v>
      </c>
      <c r="CK48" s="3">
        <v>7</v>
      </c>
      <c r="CL48" s="3">
        <v>1</v>
      </c>
      <c r="CM48" s="3"/>
      <c r="CN48" s="3"/>
      <c r="CO48" s="3"/>
      <c r="CP48" s="3"/>
      <c r="CT48" s="3">
        <v>9</v>
      </c>
      <c r="CU48" s="3">
        <v>9</v>
      </c>
      <c r="CV48" s="3">
        <v>9</v>
      </c>
      <c r="CW48" s="3">
        <v>1</v>
      </c>
      <c r="CX48" s="3">
        <v>3</v>
      </c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R48" s="3"/>
    </row>
    <row r="49" spans="1:142" ht="15" customHeight="1" x14ac:dyDescent="0.25">
      <c r="A49" s="6" t="s">
        <v>188</v>
      </c>
      <c r="B49" s="2" t="s">
        <v>784</v>
      </c>
      <c r="C49" s="2" t="s">
        <v>937</v>
      </c>
      <c r="D49" s="25" t="s">
        <v>786</v>
      </c>
      <c r="E49" s="4" t="s">
        <v>787</v>
      </c>
      <c r="F49" s="4" t="s">
        <v>793</v>
      </c>
      <c r="G49" s="26">
        <v>1985</v>
      </c>
      <c r="H49" s="4" t="s">
        <v>101</v>
      </c>
      <c r="I49" s="5"/>
      <c r="J49" s="4" t="s">
        <v>789</v>
      </c>
      <c r="K49" s="4" t="s">
        <v>101</v>
      </c>
      <c r="M49" s="5"/>
      <c r="N49" s="2" t="s">
        <v>938</v>
      </c>
      <c r="O49" s="28" t="s">
        <v>2394</v>
      </c>
      <c r="P49" s="3">
        <v>6</v>
      </c>
      <c r="Q49" s="27">
        <v>1</v>
      </c>
      <c r="R49" s="3"/>
      <c r="S49" s="3">
        <v>2</v>
      </c>
      <c r="T49" s="3"/>
      <c r="U49" s="3">
        <v>1</v>
      </c>
      <c r="V49" s="3">
        <v>6</v>
      </c>
      <c r="W49" s="3"/>
      <c r="X49" s="3"/>
      <c r="Y49" s="3">
        <v>3</v>
      </c>
      <c r="Z49" s="3">
        <v>3</v>
      </c>
      <c r="AA49" s="3">
        <v>1</v>
      </c>
      <c r="AB49" s="3"/>
      <c r="AC49" s="3"/>
      <c r="AD49" s="3">
        <v>2</v>
      </c>
      <c r="AE49" s="3">
        <v>3</v>
      </c>
      <c r="AF49" s="3">
        <v>1</v>
      </c>
      <c r="AG49" s="3"/>
      <c r="AH49" s="3"/>
      <c r="AI49" s="3"/>
      <c r="AJ49" s="3"/>
      <c r="AK49" s="3"/>
      <c r="AL49" s="3"/>
      <c r="AM49" s="3">
        <v>2</v>
      </c>
      <c r="AN49" s="3">
        <v>2</v>
      </c>
      <c r="AO49" s="3">
        <v>5</v>
      </c>
      <c r="AP49" s="3">
        <v>3</v>
      </c>
      <c r="AQ49" s="3">
        <v>6</v>
      </c>
      <c r="AR49" s="3">
        <v>3</v>
      </c>
      <c r="AS49" s="3">
        <v>7</v>
      </c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R49" s="3"/>
    </row>
    <row r="50" spans="1:142" ht="15" customHeight="1" x14ac:dyDescent="0.25">
      <c r="A50" s="6" t="s">
        <v>189</v>
      </c>
      <c r="B50" s="2" t="s">
        <v>784</v>
      </c>
      <c r="C50" s="2" t="s">
        <v>939</v>
      </c>
      <c r="D50" s="25" t="s">
        <v>786</v>
      </c>
      <c r="E50" s="4" t="s">
        <v>787</v>
      </c>
      <c r="F50" s="4" t="s">
        <v>788</v>
      </c>
      <c r="G50" s="26">
        <v>1983</v>
      </c>
      <c r="H50" s="4" t="s">
        <v>103</v>
      </c>
      <c r="I50" s="4" t="s">
        <v>940</v>
      </c>
      <c r="J50" s="4" t="s">
        <v>789</v>
      </c>
      <c r="K50" s="4" t="s">
        <v>103</v>
      </c>
      <c r="L50" s="2" t="s">
        <v>790</v>
      </c>
      <c r="M50" s="5"/>
      <c r="N50" s="2" t="s">
        <v>941</v>
      </c>
      <c r="O50" s="28" t="s">
        <v>2395</v>
      </c>
      <c r="P50" s="3">
        <v>7</v>
      </c>
      <c r="Q50" s="27">
        <v>1</v>
      </c>
      <c r="R50" s="3"/>
      <c r="S50" s="3">
        <v>2</v>
      </c>
      <c r="T50" s="3"/>
      <c r="U50" s="3">
        <v>1</v>
      </c>
      <c r="V50" s="3">
        <v>4</v>
      </c>
      <c r="W50" s="3"/>
      <c r="X50" s="3"/>
      <c r="Y50" s="3">
        <v>3</v>
      </c>
      <c r="Z50" s="3">
        <v>2</v>
      </c>
      <c r="AA50" s="3">
        <v>1</v>
      </c>
      <c r="AB50" s="3">
        <v>1</v>
      </c>
      <c r="AC50" s="3"/>
      <c r="AD50" s="3">
        <v>2</v>
      </c>
      <c r="AE50" s="3">
        <v>4</v>
      </c>
      <c r="AF50" s="3">
        <v>1</v>
      </c>
      <c r="AG50" s="3"/>
      <c r="AH50" s="3"/>
      <c r="AI50" s="3"/>
      <c r="AJ50" s="3"/>
      <c r="AK50" s="3"/>
      <c r="AL50" s="3"/>
      <c r="AM50" s="3">
        <v>1</v>
      </c>
      <c r="AN50" s="3">
        <v>3</v>
      </c>
      <c r="AO50" s="3">
        <v>5</v>
      </c>
      <c r="AP50" s="3">
        <v>3</v>
      </c>
      <c r="AQ50" s="3">
        <v>6</v>
      </c>
      <c r="AR50" s="3">
        <v>3</v>
      </c>
      <c r="AS50" s="3">
        <v>6</v>
      </c>
      <c r="AT50" s="3"/>
      <c r="AU50" s="3">
        <v>111</v>
      </c>
      <c r="AV50" s="3"/>
      <c r="AW50" s="3"/>
      <c r="AX50" s="3"/>
      <c r="AY50" s="3"/>
      <c r="AZ50" s="3"/>
      <c r="BA50" s="3"/>
      <c r="BB50" s="3">
        <v>1</v>
      </c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>
        <v>1</v>
      </c>
      <c r="BR50" s="3">
        <v>1</v>
      </c>
      <c r="BS50" s="3">
        <v>1</v>
      </c>
      <c r="BT50" s="19">
        <v>1</v>
      </c>
      <c r="BU50" s="3">
        <v>1</v>
      </c>
      <c r="BV50" s="19">
        <v>1</v>
      </c>
      <c r="BW50" s="19">
        <v>1</v>
      </c>
      <c r="BX50" s="19">
        <v>1</v>
      </c>
      <c r="BY50" s="3"/>
      <c r="BZ50" s="19">
        <v>1</v>
      </c>
      <c r="CA50" s="19">
        <v>9</v>
      </c>
      <c r="CB50" s="19">
        <v>9</v>
      </c>
      <c r="CC50" s="19">
        <v>9</v>
      </c>
      <c r="CD50" s="3">
        <v>9</v>
      </c>
      <c r="CE50" s="19">
        <v>1</v>
      </c>
      <c r="CF50" s="3">
        <v>1</v>
      </c>
      <c r="CG50" s="3"/>
      <c r="CH50" s="3">
        <v>9</v>
      </c>
      <c r="CI50" s="3">
        <v>9</v>
      </c>
      <c r="CJ50" s="3">
        <v>1</v>
      </c>
      <c r="CK50" s="3">
        <v>9</v>
      </c>
      <c r="CL50" s="3">
        <v>1</v>
      </c>
      <c r="CM50" s="3"/>
      <c r="CN50" s="3"/>
      <c r="CO50" s="3"/>
      <c r="CP50" s="3"/>
      <c r="CT50" s="3">
        <v>1</v>
      </c>
      <c r="CU50" s="3">
        <v>1</v>
      </c>
      <c r="CV50" s="3">
        <v>9</v>
      </c>
      <c r="CW50" s="3">
        <v>1</v>
      </c>
      <c r="CX50" s="3">
        <v>1</v>
      </c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R50" s="3"/>
    </row>
    <row r="51" spans="1:142" ht="15" customHeight="1" x14ac:dyDescent="0.25">
      <c r="A51" s="6" t="s">
        <v>190</v>
      </c>
      <c r="B51" s="2" t="s">
        <v>784</v>
      </c>
      <c r="C51" s="2" t="s">
        <v>942</v>
      </c>
      <c r="D51" s="25" t="s">
        <v>786</v>
      </c>
      <c r="E51" s="4" t="s">
        <v>787</v>
      </c>
      <c r="F51" s="4" t="s">
        <v>822</v>
      </c>
      <c r="G51" s="29"/>
      <c r="H51" s="4" t="s">
        <v>105</v>
      </c>
      <c r="I51" s="5"/>
      <c r="J51" s="4" t="s">
        <v>789</v>
      </c>
      <c r="K51" s="4" t="s">
        <v>943</v>
      </c>
      <c r="M51" s="5"/>
      <c r="N51" s="2" t="s">
        <v>944</v>
      </c>
      <c r="O51" s="28" t="s">
        <v>2396</v>
      </c>
      <c r="P51" s="3">
        <v>7</v>
      </c>
      <c r="Q51" s="27">
        <v>1</v>
      </c>
      <c r="R51" s="3"/>
      <c r="S51" s="3">
        <v>2</v>
      </c>
      <c r="T51" s="3"/>
      <c r="U51" s="3">
        <v>1</v>
      </c>
      <c r="V51" s="3">
        <v>4</v>
      </c>
      <c r="W51" s="3"/>
      <c r="X51" s="3"/>
      <c r="Y51" s="3">
        <v>2</v>
      </c>
      <c r="Z51" s="3">
        <v>3</v>
      </c>
      <c r="AA51" s="3">
        <v>1</v>
      </c>
      <c r="AB51" s="3">
        <v>1</v>
      </c>
      <c r="AC51" s="3"/>
      <c r="AD51" s="3">
        <v>2</v>
      </c>
      <c r="AE51" s="3">
        <v>4</v>
      </c>
      <c r="AF51" s="3">
        <v>1</v>
      </c>
      <c r="AG51" s="3"/>
      <c r="AH51" s="3"/>
      <c r="AI51" s="3"/>
      <c r="AJ51" s="3"/>
      <c r="AK51" s="3"/>
      <c r="AL51" s="3"/>
      <c r="AM51" s="3">
        <v>2</v>
      </c>
      <c r="AN51" s="3">
        <v>5</v>
      </c>
      <c r="AO51" s="3">
        <v>4</v>
      </c>
      <c r="AP51" s="3">
        <v>1</v>
      </c>
      <c r="AQ51" s="3">
        <v>6</v>
      </c>
      <c r="AR51" s="3">
        <v>2</v>
      </c>
      <c r="AS51" s="3">
        <v>6</v>
      </c>
      <c r="AT51" s="3"/>
      <c r="AU51" s="3"/>
      <c r="AV51" s="3"/>
      <c r="AW51" s="3"/>
      <c r="AX51" s="3"/>
      <c r="AY51" s="3"/>
      <c r="AZ51" s="3"/>
      <c r="BA51" s="3"/>
      <c r="BB51" s="3">
        <v>1</v>
      </c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>
        <v>9</v>
      </c>
      <c r="BR51" s="3">
        <v>9</v>
      </c>
      <c r="BS51" s="3">
        <v>9</v>
      </c>
      <c r="BT51" s="19">
        <v>9</v>
      </c>
      <c r="BU51" s="3">
        <v>9</v>
      </c>
      <c r="BV51" s="19">
        <v>9</v>
      </c>
      <c r="BW51" s="19">
        <v>9</v>
      </c>
      <c r="BX51" s="19">
        <v>9</v>
      </c>
      <c r="BY51" s="19">
        <v>9</v>
      </c>
      <c r="BZ51" s="19">
        <v>9</v>
      </c>
      <c r="CA51" s="19">
        <v>9</v>
      </c>
      <c r="CB51" s="19">
        <v>9</v>
      </c>
      <c r="CC51" s="19">
        <v>9</v>
      </c>
      <c r="CD51" s="3">
        <v>9</v>
      </c>
      <c r="CE51" s="19">
        <v>9</v>
      </c>
      <c r="CF51" s="3">
        <v>9</v>
      </c>
      <c r="CG51" s="19">
        <v>9</v>
      </c>
      <c r="CH51" s="3">
        <v>9</v>
      </c>
      <c r="CI51" s="3">
        <v>9</v>
      </c>
      <c r="CJ51" s="3">
        <v>9</v>
      </c>
      <c r="CK51" s="3">
        <v>9</v>
      </c>
      <c r="CL51" s="3">
        <v>9</v>
      </c>
      <c r="CM51" s="19">
        <v>9</v>
      </c>
      <c r="CN51" s="3"/>
      <c r="CO51" s="3"/>
      <c r="CP51" s="3"/>
      <c r="CT51" s="3">
        <v>9</v>
      </c>
      <c r="CU51" s="3">
        <v>9</v>
      </c>
      <c r="CV51" s="3">
        <v>9</v>
      </c>
      <c r="CW51" s="3">
        <v>8</v>
      </c>
      <c r="CX51" s="3">
        <v>7</v>
      </c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R51" s="3"/>
    </row>
    <row r="52" spans="1:142" ht="15" customHeight="1" x14ac:dyDescent="0.25">
      <c r="A52" s="6" t="s">
        <v>191</v>
      </c>
      <c r="B52" s="2" t="s">
        <v>784</v>
      </c>
      <c r="C52" s="2" t="s">
        <v>945</v>
      </c>
      <c r="D52" s="25" t="s">
        <v>786</v>
      </c>
      <c r="E52" s="4" t="s">
        <v>946</v>
      </c>
      <c r="F52" s="4" t="s">
        <v>947</v>
      </c>
      <c r="G52" s="26">
        <v>1989</v>
      </c>
      <c r="H52" s="4" t="s">
        <v>107</v>
      </c>
      <c r="I52" s="5"/>
      <c r="J52" s="4" t="s">
        <v>789</v>
      </c>
      <c r="K52" s="4" t="s">
        <v>107</v>
      </c>
      <c r="M52" s="5"/>
      <c r="N52" s="2" t="s">
        <v>948</v>
      </c>
      <c r="O52" s="28" t="s">
        <v>2397</v>
      </c>
      <c r="P52" s="3">
        <v>7</v>
      </c>
      <c r="Q52" s="27">
        <v>1</v>
      </c>
      <c r="R52" s="3"/>
      <c r="S52" s="3">
        <v>2</v>
      </c>
      <c r="T52" s="3"/>
      <c r="U52" s="3">
        <v>1</v>
      </c>
      <c r="V52" s="3">
        <v>3</v>
      </c>
      <c r="W52" s="3"/>
      <c r="X52" s="3"/>
      <c r="Y52" s="3">
        <v>4</v>
      </c>
      <c r="Z52" s="3">
        <v>3</v>
      </c>
      <c r="AA52" s="3">
        <v>1</v>
      </c>
      <c r="AB52" s="3">
        <v>1</v>
      </c>
      <c r="AC52" s="3"/>
      <c r="AD52" s="3">
        <v>2</v>
      </c>
      <c r="AE52" s="3">
        <v>5</v>
      </c>
      <c r="AF52" s="3">
        <v>1</v>
      </c>
      <c r="AG52" s="3"/>
      <c r="AH52" s="3"/>
      <c r="AI52" s="3"/>
      <c r="AJ52" s="3"/>
      <c r="AK52" s="3"/>
      <c r="AL52" s="3"/>
      <c r="AM52" s="3">
        <v>1</v>
      </c>
      <c r="AN52" s="3">
        <v>2</v>
      </c>
      <c r="AO52" s="3">
        <v>7</v>
      </c>
      <c r="AP52" s="3"/>
      <c r="AQ52" s="3">
        <v>5</v>
      </c>
      <c r="AR52" s="3">
        <v>4</v>
      </c>
      <c r="AS52" s="3">
        <v>3</v>
      </c>
      <c r="AT52" s="3"/>
      <c r="AU52" s="3">
        <v>122</v>
      </c>
      <c r="AV52" s="3"/>
      <c r="AW52" s="3"/>
      <c r="AX52" s="3"/>
      <c r="AY52" s="3"/>
      <c r="AZ52" s="3"/>
      <c r="BA52" s="3"/>
      <c r="BB52" s="3">
        <v>1</v>
      </c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>
        <v>9</v>
      </c>
      <c r="BR52" s="3">
        <v>9</v>
      </c>
      <c r="BS52" s="3">
        <v>1</v>
      </c>
      <c r="BT52" s="19">
        <v>9</v>
      </c>
      <c r="BU52" s="3">
        <v>1</v>
      </c>
      <c r="BV52" s="19">
        <v>8</v>
      </c>
      <c r="BW52" s="19">
        <v>9</v>
      </c>
      <c r="BX52" s="19">
        <v>9</v>
      </c>
      <c r="BY52" s="3"/>
      <c r="BZ52" s="19">
        <v>1</v>
      </c>
      <c r="CA52" s="19">
        <v>1</v>
      </c>
      <c r="CB52" s="19">
        <v>9</v>
      </c>
      <c r="CC52" s="19">
        <v>9</v>
      </c>
      <c r="CD52" s="3">
        <v>9</v>
      </c>
      <c r="CE52" s="19">
        <v>7</v>
      </c>
      <c r="CF52" s="3">
        <v>9</v>
      </c>
      <c r="CG52" s="3"/>
      <c r="CH52" s="3">
        <v>9</v>
      </c>
      <c r="CI52" s="3">
        <v>9</v>
      </c>
      <c r="CJ52" s="3">
        <v>9</v>
      </c>
      <c r="CK52" s="3">
        <v>9</v>
      </c>
      <c r="CL52" s="3">
        <v>9</v>
      </c>
      <c r="CM52" s="3"/>
      <c r="CN52" s="3"/>
      <c r="CO52" s="3"/>
      <c r="CP52" s="3"/>
      <c r="CT52" s="3">
        <v>1</v>
      </c>
      <c r="CU52" s="3">
        <v>9</v>
      </c>
      <c r="CV52" s="3">
        <v>7</v>
      </c>
      <c r="CW52" s="3">
        <v>9</v>
      </c>
      <c r="CX52" s="3">
        <v>9</v>
      </c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R52" s="3"/>
    </row>
    <row r="53" spans="1:142" ht="15" customHeight="1" x14ac:dyDescent="0.25">
      <c r="A53" s="6" t="s">
        <v>192</v>
      </c>
      <c r="B53" s="2" t="s">
        <v>784</v>
      </c>
      <c r="C53" s="2" t="s">
        <v>949</v>
      </c>
      <c r="D53" s="25" t="s">
        <v>786</v>
      </c>
      <c r="E53" s="4" t="s">
        <v>787</v>
      </c>
      <c r="F53" s="4" t="s">
        <v>809</v>
      </c>
      <c r="G53" s="29"/>
      <c r="H53" s="4" t="s">
        <v>111</v>
      </c>
      <c r="I53" s="5"/>
      <c r="J53" s="4" t="s">
        <v>789</v>
      </c>
      <c r="K53" s="4" t="s">
        <v>111</v>
      </c>
      <c r="L53" s="2" t="s">
        <v>790</v>
      </c>
      <c r="M53" s="5"/>
      <c r="N53" s="2" t="s">
        <v>950</v>
      </c>
      <c r="O53" s="28" t="s">
        <v>2398</v>
      </c>
      <c r="P53" s="3">
        <v>7</v>
      </c>
      <c r="Q53" s="27">
        <v>1</v>
      </c>
      <c r="R53" s="3"/>
      <c r="S53" s="3"/>
      <c r="T53" s="3"/>
      <c r="U53" s="3">
        <v>1</v>
      </c>
      <c r="V53" s="3">
        <v>4</v>
      </c>
      <c r="W53" s="3"/>
      <c r="X53" s="3"/>
      <c r="Y53" s="3">
        <v>3</v>
      </c>
      <c r="Z53" s="3">
        <v>2</v>
      </c>
      <c r="AA53" s="3">
        <v>1</v>
      </c>
      <c r="AB53" s="3">
        <v>1</v>
      </c>
      <c r="AC53" s="3"/>
      <c r="AD53" s="3">
        <v>2</v>
      </c>
      <c r="AE53" s="3">
        <v>5</v>
      </c>
      <c r="AF53" s="3">
        <v>1</v>
      </c>
      <c r="AG53" s="3"/>
      <c r="AH53" s="3"/>
      <c r="AI53" s="3"/>
      <c r="AJ53" s="3"/>
      <c r="AK53" s="3"/>
      <c r="AL53" s="3"/>
      <c r="AM53" s="3">
        <v>1</v>
      </c>
      <c r="AN53" s="3">
        <v>2</v>
      </c>
      <c r="AO53" s="3">
        <v>6</v>
      </c>
      <c r="AP53" s="3"/>
      <c r="AQ53" s="3">
        <v>5</v>
      </c>
      <c r="AR53" s="3">
        <v>3</v>
      </c>
      <c r="AS53" s="3">
        <v>5</v>
      </c>
      <c r="AT53" s="3"/>
      <c r="AU53" s="3">
        <v>108</v>
      </c>
      <c r="AV53" s="3"/>
      <c r="AW53" s="3"/>
      <c r="AX53" s="3"/>
      <c r="AY53" s="3"/>
      <c r="AZ53" s="3"/>
      <c r="BA53" s="3">
        <v>1</v>
      </c>
      <c r="BB53" s="3">
        <v>1</v>
      </c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>
        <v>1</v>
      </c>
      <c r="BR53" s="3">
        <v>1</v>
      </c>
      <c r="BS53" s="3"/>
      <c r="BT53" s="19">
        <v>1</v>
      </c>
      <c r="BU53" s="3">
        <v>1</v>
      </c>
      <c r="BV53" s="19">
        <v>1</v>
      </c>
      <c r="BW53" s="19">
        <v>1</v>
      </c>
      <c r="BX53" s="19">
        <v>1</v>
      </c>
      <c r="BY53" s="19">
        <v>1</v>
      </c>
      <c r="BZ53" s="19">
        <v>1</v>
      </c>
      <c r="CA53" s="19">
        <v>9</v>
      </c>
      <c r="CB53" s="19">
        <v>1</v>
      </c>
      <c r="CC53" s="19">
        <v>9</v>
      </c>
      <c r="CD53" s="3">
        <v>7</v>
      </c>
      <c r="CE53" s="19">
        <v>1</v>
      </c>
      <c r="CF53" s="3">
        <v>1</v>
      </c>
      <c r="CG53" s="19">
        <v>1</v>
      </c>
      <c r="CH53" s="3">
        <v>9</v>
      </c>
      <c r="CI53" s="3">
        <v>9</v>
      </c>
      <c r="CJ53" s="3">
        <v>1</v>
      </c>
      <c r="CK53" s="3">
        <v>9</v>
      </c>
      <c r="CL53" s="3">
        <v>1</v>
      </c>
      <c r="CM53" s="3"/>
      <c r="CN53" s="3"/>
      <c r="CO53" s="3"/>
      <c r="CP53" s="3"/>
      <c r="CT53" s="3">
        <v>9</v>
      </c>
      <c r="CU53" s="3">
        <v>9</v>
      </c>
      <c r="CV53" s="3">
        <v>9</v>
      </c>
      <c r="CW53" s="3">
        <v>1</v>
      </c>
      <c r="CX53" s="3">
        <v>9</v>
      </c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R53" s="3"/>
    </row>
    <row r="54" spans="1:142" ht="15" customHeight="1" x14ac:dyDescent="0.25">
      <c r="A54" s="6" t="s">
        <v>193</v>
      </c>
      <c r="B54" s="2" t="s">
        <v>784</v>
      </c>
      <c r="C54" s="2" t="s">
        <v>951</v>
      </c>
      <c r="D54" s="25" t="s">
        <v>786</v>
      </c>
      <c r="E54" s="4" t="s">
        <v>787</v>
      </c>
      <c r="F54" s="4" t="s">
        <v>788</v>
      </c>
      <c r="G54" s="26">
        <v>1995</v>
      </c>
      <c r="H54" s="4" t="s">
        <v>113</v>
      </c>
      <c r="I54" s="4" t="s">
        <v>952</v>
      </c>
      <c r="J54" s="4" t="s">
        <v>789</v>
      </c>
      <c r="K54" s="4" t="s">
        <v>11</v>
      </c>
      <c r="L54" s="2" t="s">
        <v>802</v>
      </c>
      <c r="M54" s="5"/>
      <c r="N54" s="2" t="s">
        <v>953</v>
      </c>
      <c r="O54" s="28" t="s">
        <v>2399</v>
      </c>
      <c r="P54" s="3">
        <v>7</v>
      </c>
      <c r="Q54" s="27"/>
      <c r="R54" s="3"/>
      <c r="S54" s="3">
        <v>2</v>
      </c>
      <c r="T54" s="3"/>
      <c r="U54" s="3">
        <v>1</v>
      </c>
      <c r="V54" s="3">
        <v>5</v>
      </c>
      <c r="W54" s="3"/>
      <c r="X54" s="19"/>
      <c r="Y54" s="3">
        <v>3</v>
      </c>
      <c r="Z54" s="3">
        <v>2</v>
      </c>
      <c r="AA54" s="3">
        <v>1</v>
      </c>
      <c r="AB54" s="3">
        <v>1</v>
      </c>
      <c r="AC54" s="3"/>
      <c r="AD54" s="3">
        <v>2</v>
      </c>
      <c r="AE54" s="3">
        <v>3</v>
      </c>
      <c r="AF54" s="3">
        <v>1</v>
      </c>
      <c r="AG54" s="3"/>
      <c r="AH54" s="3"/>
      <c r="AI54" s="3"/>
      <c r="AJ54" s="3"/>
      <c r="AK54" s="3"/>
      <c r="AL54" s="3"/>
      <c r="AM54" s="3">
        <v>1</v>
      </c>
      <c r="AN54" s="3">
        <v>1</v>
      </c>
      <c r="AO54" s="3">
        <v>5</v>
      </c>
      <c r="AP54" s="3">
        <v>3</v>
      </c>
      <c r="AQ54" s="3">
        <v>6</v>
      </c>
      <c r="AR54" s="3">
        <v>3</v>
      </c>
      <c r="AS54" s="3">
        <v>6</v>
      </c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R54" s="3"/>
    </row>
    <row r="55" spans="1:142" ht="15" customHeight="1" x14ac:dyDescent="0.25">
      <c r="A55" s="6" t="s">
        <v>194</v>
      </c>
      <c r="B55" s="2" t="s">
        <v>784</v>
      </c>
      <c r="C55" s="2" t="s">
        <v>954</v>
      </c>
      <c r="D55" s="25" t="s">
        <v>786</v>
      </c>
      <c r="E55" s="4" t="s">
        <v>787</v>
      </c>
      <c r="F55" s="4" t="s">
        <v>788</v>
      </c>
      <c r="G55" s="26">
        <v>1994</v>
      </c>
      <c r="H55" s="4" t="s">
        <v>114</v>
      </c>
      <c r="I55" s="4" t="s">
        <v>955</v>
      </c>
      <c r="J55" s="4" t="s">
        <v>789</v>
      </c>
      <c r="L55" s="2" t="s">
        <v>790</v>
      </c>
      <c r="M55" s="4" t="s">
        <v>956</v>
      </c>
      <c r="N55" s="2" t="s">
        <v>957</v>
      </c>
      <c r="O55" s="28" t="s">
        <v>2400</v>
      </c>
      <c r="P55" s="3">
        <v>7</v>
      </c>
      <c r="Q55" s="27"/>
      <c r="R55" s="3"/>
      <c r="S55" s="3">
        <v>2</v>
      </c>
      <c r="T55" s="3"/>
      <c r="U55" s="3">
        <v>1</v>
      </c>
      <c r="V55" s="3">
        <v>5</v>
      </c>
      <c r="W55" s="3"/>
      <c r="X55" s="19"/>
      <c r="Y55" s="3">
        <v>2</v>
      </c>
      <c r="Z55" s="3">
        <v>2</v>
      </c>
      <c r="AA55" s="3">
        <v>1</v>
      </c>
      <c r="AB55" s="3">
        <v>1</v>
      </c>
      <c r="AC55" s="3"/>
      <c r="AD55" s="3">
        <v>2</v>
      </c>
      <c r="AE55" s="3">
        <v>4</v>
      </c>
      <c r="AF55" s="3">
        <v>1</v>
      </c>
      <c r="AG55" s="3">
        <v>0</v>
      </c>
      <c r="AH55" s="3">
        <v>0</v>
      </c>
      <c r="AI55" s="3"/>
      <c r="AJ55" s="3"/>
      <c r="AK55" s="3"/>
      <c r="AL55" s="3"/>
      <c r="AM55" s="3">
        <v>7</v>
      </c>
      <c r="AN55" s="3">
        <v>2</v>
      </c>
      <c r="AO55" s="3">
        <v>5</v>
      </c>
      <c r="AP55" s="3">
        <v>3</v>
      </c>
      <c r="AQ55" s="3">
        <v>6</v>
      </c>
      <c r="AR55" s="3">
        <v>3</v>
      </c>
      <c r="AS55" s="3">
        <v>8</v>
      </c>
      <c r="AT55" s="3"/>
      <c r="AU55" s="3"/>
      <c r="AV55" s="3"/>
      <c r="AW55" s="3"/>
      <c r="AX55" s="3"/>
      <c r="AY55" s="3"/>
      <c r="AZ55" s="3"/>
      <c r="BA55" s="3"/>
      <c r="BB55" s="3">
        <v>1</v>
      </c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R55" s="3"/>
    </row>
    <row r="56" spans="1:142" ht="15" customHeight="1" x14ac:dyDescent="0.25">
      <c r="A56" s="6" t="s">
        <v>195</v>
      </c>
      <c r="B56" s="2" t="s">
        <v>784</v>
      </c>
      <c r="C56" s="2" t="s">
        <v>958</v>
      </c>
      <c r="D56" s="25" t="s">
        <v>786</v>
      </c>
      <c r="E56" s="4" t="s">
        <v>787</v>
      </c>
      <c r="F56" s="4" t="s">
        <v>788</v>
      </c>
      <c r="G56" s="26">
        <v>1994</v>
      </c>
      <c r="H56" s="4" t="s">
        <v>118</v>
      </c>
      <c r="I56" s="4" t="s">
        <v>959</v>
      </c>
      <c r="J56" s="4" t="s">
        <v>789</v>
      </c>
      <c r="K56" s="4" t="s">
        <v>960</v>
      </c>
      <c r="L56" s="2" t="s">
        <v>790</v>
      </c>
      <c r="M56" s="5" t="s">
        <v>961</v>
      </c>
      <c r="N56" s="2" t="s">
        <v>962</v>
      </c>
      <c r="O56" s="28" t="s">
        <v>2401</v>
      </c>
      <c r="P56" s="3">
        <v>6</v>
      </c>
      <c r="Q56" s="27">
        <v>1</v>
      </c>
      <c r="R56" s="3"/>
      <c r="S56" s="3">
        <v>2</v>
      </c>
      <c r="T56" s="3"/>
      <c r="U56" s="3">
        <v>1</v>
      </c>
      <c r="V56" s="3">
        <v>5</v>
      </c>
      <c r="W56" s="3"/>
      <c r="X56" s="19"/>
      <c r="Y56" s="3">
        <v>4</v>
      </c>
      <c r="Z56" s="3">
        <v>2</v>
      </c>
      <c r="AA56" s="3">
        <v>1</v>
      </c>
      <c r="AB56" s="3">
        <v>1</v>
      </c>
      <c r="AC56" s="3"/>
      <c r="AD56" s="3">
        <v>2</v>
      </c>
      <c r="AE56" s="3">
        <v>3</v>
      </c>
      <c r="AF56" s="3">
        <v>1</v>
      </c>
      <c r="AG56" s="3">
        <v>0</v>
      </c>
      <c r="AH56" s="3">
        <v>0</v>
      </c>
      <c r="AI56" s="3"/>
      <c r="AJ56" s="3"/>
      <c r="AK56" s="3"/>
      <c r="AL56" s="3"/>
      <c r="AM56" s="3">
        <v>1</v>
      </c>
      <c r="AN56" s="3">
        <v>1</v>
      </c>
      <c r="AO56" s="3">
        <v>4</v>
      </c>
      <c r="AP56" s="3">
        <v>3</v>
      </c>
      <c r="AQ56" s="3">
        <v>6</v>
      </c>
      <c r="AR56" s="3">
        <v>3</v>
      </c>
      <c r="AS56" s="3">
        <v>7</v>
      </c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R56" s="3"/>
      <c r="DS56" s="3"/>
      <c r="DT56" s="3"/>
    </row>
    <row r="57" spans="1:142" ht="15" customHeight="1" x14ac:dyDescent="0.25">
      <c r="A57" s="6" t="s">
        <v>196</v>
      </c>
      <c r="B57" s="2" t="s">
        <v>784</v>
      </c>
      <c r="C57" s="2" t="s">
        <v>963</v>
      </c>
      <c r="D57" s="25" t="s">
        <v>786</v>
      </c>
      <c r="E57" s="4" t="s">
        <v>787</v>
      </c>
      <c r="F57" s="4" t="s">
        <v>788</v>
      </c>
      <c r="G57" s="26">
        <v>1994</v>
      </c>
      <c r="H57" s="4" t="s">
        <v>119</v>
      </c>
      <c r="I57" s="4" t="s">
        <v>964</v>
      </c>
      <c r="J57" s="4" t="s">
        <v>789</v>
      </c>
      <c r="K57" s="4" t="s">
        <v>965</v>
      </c>
      <c r="L57" s="2" t="s">
        <v>802</v>
      </c>
      <c r="M57" s="5"/>
      <c r="N57" s="2" t="s">
        <v>966</v>
      </c>
      <c r="O57" s="28" t="s">
        <v>2402</v>
      </c>
      <c r="P57" s="3">
        <v>7</v>
      </c>
      <c r="Q57" s="27">
        <v>1</v>
      </c>
      <c r="R57" s="3"/>
      <c r="S57" s="3">
        <v>2</v>
      </c>
      <c r="T57" s="3"/>
      <c r="U57" s="3">
        <v>1</v>
      </c>
      <c r="V57" s="3">
        <v>4</v>
      </c>
      <c r="W57" s="3"/>
      <c r="X57" s="19"/>
      <c r="Y57" s="3">
        <v>2</v>
      </c>
      <c r="Z57" s="3">
        <v>3</v>
      </c>
      <c r="AA57" s="3">
        <v>1</v>
      </c>
      <c r="AB57" s="3">
        <v>1</v>
      </c>
      <c r="AC57" s="3"/>
      <c r="AD57" s="3">
        <v>2</v>
      </c>
      <c r="AE57" s="3">
        <v>3</v>
      </c>
      <c r="AF57" s="3">
        <v>1</v>
      </c>
      <c r="AG57" s="3">
        <v>0</v>
      </c>
      <c r="AH57" s="3">
        <v>0</v>
      </c>
      <c r="AI57" s="3"/>
      <c r="AJ57" s="3"/>
      <c r="AK57" s="3"/>
      <c r="AL57" s="3"/>
      <c r="AM57" s="3">
        <v>2</v>
      </c>
      <c r="AN57" s="3">
        <v>4</v>
      </c>
      <c r="AO57" s="3">
        <v>5</v>
      </c>
      <c r="AP57" s="3">
        <v>3</v>
      </c>
      <c r="AQ57" s="3">
        <v>6</v>
      </c>
      <c r="AR57" s="3">
        <v>3</v>
      </c>
      <c r="AS57" s="3">
        <v>5</v>
      </c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R57" s="3"/>
    </row>
    <row r="58" spans="1:142" ht="15" customHeight="1" x14ac:dyDescent="0.25">
      <c r="A58" s="6" t="s">
        <v>197</v>
      </c>
      <c r="B58" s="2" t="s">
        <v>784</v>
      </c>
      <c r="C58" s="2" t="s">
        <v>967</v>
      </c>
      <c r="D58" s="25" t="s">
        <v>786</v>
      </c>
      <c r="E58" s="4" t="s">
        <v>787</v>
      </c>
      <c r="F58" s="4" t="s">
        <v>788</v>
      </c>
      <c r="G58" s="26">
        <v>2002</v>
      </c>
      <c r="H58" s="4" t="s">
        <v>120</v>
      </c>
      <c r="I58" s="4" t="s">
        <v>968</v>
      </c>
      <c r="J58" s="4" t="s">
        <v>789</v>
      </c>
      <c r="K58" s="3"/>
      <c r="L58" s="2" t="s">
        <v>790</v>
      </c>
      <c r="M58" s="4" t="s">
        <v>969</v>
      </c>
      <c r="N58" s="2" t="s">
        <v>970</v>
      </c>
      <c r="O58" s="28" t="s">
        <v>2403</v>
      </c>
      <c r="P58" s="3">
        <v>7</v>
      </c>
      <c r="Q58" s="27">
        <v>1</v>
      </c>
      <c r="R58" s="3"/>
      <c r="S58" s="3">
        <v>2</v>
      </c>
      <c r="T58" s="3"/>
      <c r="U58" s="3">
        <v>1</v>
      </c>
      <c r="V58" s="3">
        <v>5</v>
      </c>
      <c r="W58" s="3"/>
      <c r="X58" s="19"/>
      <c r="Y58" s="3">
        <v>3</v>
      </c>
      <c r="Z58" s="3">
        <v>2</v>
      </c>
      <c r="AA58" s="3">
        <v>1</v>
      </c>
      <c r="AB58" s="3">
        <v>1</v>
      </c>
      <c r="AC58" s="3"/>
      <c r="AD58" s="3">
        <v>2</v>
      </c>
      <c r="AE58" s="3">
        <v>4</v>
      </c>
      <c r="AF58" s="3">
        <v>1</v>
      </c>
      <c r="AG58" s="3">
        <v>0</v>
      </c>
      <c r="AH58" s="3">
        <v>0</v>
      </c>
      <c r="AI58" s="3"/>
      <c r="AJ58" s="3"/>
      <c r="AK58" s="3"/>
      <c r="AL58" s="3"/>
      <c r="AM58" s="3">
        <v>1</v>
      </c>
      <c r="AN58" s="3">
        <v>1</v>
      </c>
      <c r="AO58" s="3">
        <v>4</v>
      </c>
      <c r="AP58" s="3">
        <v>3</v>
      </c>
      <c r="AQ58" s="3">
        <v>4</v>
      </c>
      <c r="AR58" s="3">
        <v>3</v>
      </c>
      <c r="AS58" s="3">
        <v>8</v>
      </c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R58" s="3"/>
      <c r="DS58" s="3"/>
      <c r="DT58" s="3"/>
    </row>
    <row r="59" spans="1:142" ht="15" customHeight="1" x14ac:dyDescent="0.25">
      <c r="A59" s="6" t="s">
        <v>198</v>
      </c>
      <c r="B59" s="2" t="s">
        <v>784</v>
      </c>
      <c r="C59" s="2" t="s">
        <v>971</v>
      </c>
      <c r="D59" s="25" t="s">
        <v>786</v>
      </c>
      <c r="E59" s="4" t="s">
        <v>787</v>
      </c>
      <c r="F59" s="4" t="s">
        <v>822</v>
      </c>
      <c r="G59" s="29"/>
      <c r="H59" s="4" t="s">
        <v>2</v>
      </c>
      <c r="I59" s="5"/>
      <c r="J59" s="4" t="s">
        <v>972</v>
      </c>
      <c r="K59" s="4" t="s">
        <v>2</v>
      </c>
      <c r="M59" s="5"/>
      <c r="N59" s="2" t="s">
        <v>973</v>
      </c>
      <c r="O59" s="28" t="s">
        <v>2404</v>
      </c>
      <c r="P59" s="3">
        <v>7</v>
      </c>
      <c r="Q59" s="27">
        <v>2</v>
      </c>
      <c r="R59" s="19">
        <v>5</v>
      </c>
      <c r="S59" s="3"/>
      <c r="T59" s="3">
        <v>4</v>
      </c>
      <c r="U59" s="3">
        <v>1</v>
      </c>
      <c r="V59" s="3">
        <v>5</v>
      </c>
      <c r="W59" s="3"/>
      <c r="X59" s="3"/>
      <c r="Y59" s="3">
        <v>4</v>
      </c>
      <c r="Z59" s="3">
        <v>3</v>
      </c>
      <c r="AA59" s="3">
        <v>2</v>
      </c>
      <c r="AB59" s="3">
        <v>2</v>
      </c>
      <c r="AC59" s="3"/>
      <c r="AD59" s="3">
        <v>2</v>
      </c>
      <c r="AE59" s="3">
        <v>5</v>
      </c>
      <c r="AF59" s="3">
        <v>1</v>
      </c>
      <c r="AG59" s="3"/>
      <c r="AH59" s="3"/>
      <c r="AI59" s="3"/>
      <c r="AJ59" s="3"/>
      <c r="AK59" s="3"/>
      <c r="AL59" s="3"/>
      <c r="AM59" s="3">
        <v>2</v>
      </c>
      <c r="AN59" s="3"/>
      <c r="AO59" s="3">
        <v>4</v>
      </c>
      <c r="AP59" s="3">
        <v>3</v>
      </c>
      <c r="AQ59" s="3">
        <v>7</v>
      </c>
      <c r="AR59" s="3">
        <v>3</v>
      </c>
      <c r="AS59" s="3">
        <v>8</v>
      </c>
      <c r="AT59" s="3"/>
      <c r="AU59" s="3"/>
      <c r="AV59" s="3"/>
      <c r="AW59" s="3"/>
      <c r="AX59" s="3"/>
      <c r="AY59" s="3"/>
      <c r="AZ59" s="3"/>
      <c r="BA59" s="3"/>
      <c r="BB59" s="3">
        <v>1</v>
      </c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>
        <v>9</v>
      </c>
      <c r="BR59" s="3">
        <v>9</v>
      </c>
      <c r="BS59" s="3">
        <v>9</v>
      </c>
      <c r="BT59" s="19">
        <v>9</v>
      </c>
      <c r="BU59" s="3">
        <v>9</v>
      </c>
      <c r="BV59" s="19">
        <v>9</v>
      </c>
      <c r="BW59" s="19">
        <v>9</v>
      </c>
      <c r="BX59" s="19">
        <v>9</v>
      </c>
      <c r="BY59" s="3"/>
      <c r="BZ59" s="19">
        <v>8</v>
      </c>
      <c r="CA59" s="19">
        <v>9</v>
      </c>
      <c r="CB59" s="19">
        <v>9</v>
      </c>
      <c r="CC59" s="19">
        <v>9</v>
      </c>
      <c r="CD59" s="3">
        <v>9</v>
      </c>
      <c r="CE59" s="19">
        <v>9</v>
      </c>
      <c r="CF59" s="3">
        <v>9</v>
      </c>
      <c r="CG59" s="3"/>
      <c r="CH59" s="3">
        <v>9</v>
      </c>
      <c r="CI59" s="3">
        <v>9</v>
      </c>
      <c r="CJ59" s="3">
        <v>8</v>
      </c>
      <c r="CK59" s="3">
        <v>9</v>
      </c>
      <c r="CL59" s="3">
        <v>7</v>
      </c>
      <c r="CM59" s="19">
        <v>9</v>
      </c>
      <c r="CN59" s="3"/>
      <c r="CO59" s="3"/>
      <c r="CP59" s="3"/>
      <c r="CT59" s="3">
        <v>9</v>
      </c>
      <c r="CU59" s="3">
        <v>8</v>
      </c>
      <c r="CV59" s="3">
        <v>7</v>
      </c>
      <c r="CW59" s="3">
        <v>9</v>
      </c>
      <c r="CX59" s="3">
        <v>9</v>
      </c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R59" s="3"/>
    </row>
    <row r="60" spans="1:142" ht="15" customHeight="1" x14ac:dyDescent="0.25">
      <c r="A60" s="6" t="s">
        <v>199</v>
      </c>
      <c r="B60" s="2" t="s">
        <v>784</v>
      </c>
      <c r="C60" s="2" t="s">
        <v>974</v>
      </c>
      <c r="D60" s="25" t="s">
        <v>786</v>
      </c>
      <c r="E60" s="4" t="s">
        <v>787</v>
      </c>
      <c r="F60" s="4" t="s">
        <v>854</v>
      </c>
      <c r="G60" s="29"/>
      <c r="H60" s="4" t="s">
        <v>4</v>
      </c>
      <c r="I60" s="5"/>
      <c r="J60" s="4" t="s">
        <v>972</v>
      </c>
      <c r="K60" s="4" t="s">
        <v>975</v>
      </c>
      <c r="L60" s="2" t="s">
        <v>802</v>
      </c>
      <c r="M60" s="4" t="s">
        <v>976</v>
      </c>
      <c r="N60" s="2" t="s">
        <v>977</v>
      </c>
      <c r="O60" s="28" t="s">
        <v>2405</v>
      </c>
      <c r="P60" s="3">
        <v>7</v>
      </c>
      <c r="Q60" s="27">
        <v>1</v>
      </c>
      <c r="R60" s="3"/>
      <c r="S60" s="3">
        <v>1</v>
      </c>
      <c r="T60" s="3"/>
      <c r="U60" s="3">
        <v>1</v>
      </c>
      <c r="V60" s="3">
        <v>6</v>
      </c>
      <c r="W60" s="3"/>
      <c r="X60" s="3"/>
      <c r="Y60" s="3">
        <v>6</v>
      </c>
      <c r="Z60" s="3">
        <v>4</v>
      </c>
      <c r="AA60" s="3">
        <v>2</v>
      </c>
      <c r="AB60" s="3">
        <v>2</v>
      </c>
      <c r="AC60" s="3"/>
      <c r="AD60" s="3">
        <v>2</v>
      </c>
      <c r="AE60" s="3">
        <v>5</v>
      </c>
      <c r="AF60" s="3">
        <v>1</v>
      </c>
      <c r="AG60" s="3">
        <v>0</v>
      </c>
      <c r="AH60" s="3">
        <v>0</v>
      </c>
      <c r="AI60" s="3"/>
      <c r="AJ60" s="3"/>
      <c r="AK60" s="3"/>
      <c r="AL60" s="3"/>
      <c r="AM60" s="3">
        <v>1</v>
      </c>
      <c r="AN60" s="3">
        <v>3</v>
      </c>
      <c r="AO60" s="3">
        <v>6</v>
      </c>
      <c r="AP60" s="3"/>
      <c r="AQ60" s="3">
        <v>7</v>
      </c>
      <c r="AR60" s="3">
        <v>3</v>
      </c>
      <c r="AS60" s="3">
        <v>8</v>
      </c>
      <c r="AT60" s="3">
        <v>64</v>
      </c>
      <c r="AU60" s="3"/>
      <c r="AV60" s="3"/>
      <c r="AW60" s="3"/>
      <c r="AX60" s="3"/>
      <c r="AY60" s="3"/>
      <c r="AZ60" s="3"/>
      <c r="BA60" s="3">
        <v>1</v>
      </c>
      <c r="BB60" s="3">
        <v>1</v>
      </c>
      <c r="BC60" s="3"/>
      <c r="BD60" s="3">
        <v>61.3</v>
      </c>
      <c r="BE60" s="3">
        <v>16.600000000000001</v>
      </c>
      <c r="BF60" s="3"/>
      <c r="BG60" s="3">
        <v>9</v>
      </c>
      <c r="BH60" s="3">
        <v>3</v>
      </c>
      <c r="BI60" s="3">
        <v>1567</v>
      </c>
      <c r="BJ60" s="3">
        <v>1856</v>
      </c>
      <c r="BK60" s="3">
        <v>1</v>
      </c>
      <c r="BL60" s="3">
        <v>2</v>
      </c>
      <c r="BM60" s="3"/>
      <c r="BN60" s="3">
        <v>4</v>
      </c>
      <c r="BO60" s="3">
        <v>2</v>
      </c>
      <c r="BP60" s="3"/>
      <c r="BQ60" s="3">
        <v>1</v>
      </c>
      <c r="BR60" s="3">
        <v>1</v>
      </c>
      <c r="BS60" s="3">
        <v>9</v>
      </c>
      <c r="BT60" s="19">
        <v>2</v>
      </c>
      <c r="BU60" s="3">
        <v>1</v>
      </c>
      <c r="BV60" s="19">
        <v>1</v>
      </c>
      <c r="BW60" s="19">
        <v>1</v>
      </c>
      <c r="BX60" s="19">
        <v>9</v>
      </c>
      <c r="BY60" s="19">
        <v>9</v>
      </c>
      <c r="BZ60" s="3">
        <v>9</v>
      </c>
      <c r="CA60" s="3"/>
      <c r="CB60" s="19">
        <v>1</v>
      </c>
      <c r="CC60" s="3">
        <v>3</v>
      </c>
      <c r="CD60" s="3">
        <v>8</v>
      </c>
      <c r="CE60" s="19">
        <v>4</v>
      </c>
      <c r="CF60" s="3">
        <v>9</v>
      </c>
      <c r="CG60" s="19">
        <v>1</v>
      </c>
      <c r="CH60" s="3">
        <v>9</v>
      </c>
      <c r="CI60" s="3">
        <v>9</v>
      </c>
      <c r="CJ60" s="3">
        <v>9</v>
      </c>
      <c r="CK60" s="3">
        <v>7</v>
      </c>
      <c r="CL60" s="3">
        <v>9</v>
      </c>
      <c r="CM60" s="3"/>
      <c r="CN60" s="3"/>
      <c r="CO60" s="3"/>
      <c r="CP60" s="3"/>
      <c r="CT60" s="3">
        <v>9</v>
      </c>
      <c r="CU60" s="3">
        <v>3</v>
      </c>
      <c r="CV60" s="3">
        <v>9</v>
      </c>
      <c r="CW60" s="3"/>
      <c r="CX60" s="3">
        <v>9</v>
      </c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R60" s="3"/>
    </row>
    <row r="61" spans="1:142" ht="15" customHeight="1" x14ac:dyDescent="0.25">
      <c r="A61" s="6" t="s">
        <v>200</v>
      </c>
      <c r="B61" s="2" t="s">
        <v>784</v>
      </c>
      <c r="C61" s="2" t="s">
        <v>978</v>
      </c>
      <c r="D61" s="25" t="s">
        <v>786</v>
      </c>
      <c r="E61" s="4" t="s">
        <v>787</v>
      </c>
      <c r="F61" s="4" t="s">
        <v>822</v>
      </c>
      <c r="G61" s="26">
        <v>1971</v>
      </c>
      <c r="H61" s="4" t="s">
        <v>7</v>
      </c>
      <c r="I61" s="5"/>
      <c r="J61" s="4" t="s">
        <v>972</v>
      </c>
      <c r="K61" s="4" t="s">
        <v>979</v>
      </c>
      <c r="M61" s="5"/>
      <c r="N61" s="2" t="s">
        <v>980</v>
      </c>
      <c r="O61" s="28" t="s">
        <v>2406</v>
      </c>
      <c r="P61" s="3">
        <v>7</v>
      </c>
      <c r="Q61" s="27">
        <v>1</v>
      </c>
      <c r="R61" s="19">
        <v>5</v>
      </c>
      <c r="S61" s="3">
        <v>1</v>
      </c>
      <c r="T61" s="3">
        <v>3</v>
      </c>
      <c r="U61" s="3">
        <v>1</v>
      </c>
      <c r="V61" s="3"/>
      <c r="W61" s="3"/>
      <c r="X61" s="3"/>
      <c r="Y61" s="3">
        <v>4</v>
      </c>
      <c r="Z61" s="3">
        <v>3</v>
      </c>
      <c r="AA61" s="3">
        <v>2</v>
      </c>
      <c r="AB61" s="3">
        <v>3</v>
      </c>
      <c r="AC61" s="3"/>
      <c r="AD61" s="3">
        <v>2</v>
      </c>
      <c r="AE61" s="3">
        <v>5</v>
      </c>
      <c r="AF61" s="3">
        <v>1</v>
      </c>
      <c r="AG61" s="3"/>
      <c r="AH61" s="3"/>
      <c r="AI61" s="3"/>
      <c r="AJ61" s="3"/>
      <c r="AK61" s="3"/>
      <c r="AL61" s="3"/>
      <c r="AM61" s="3">
        <v>1</v>
      </c>
      <c r="AN61" s="3"/>
      <c r="AO61" s="3">
        <v>6</v>
      </c>
      <c r="AP61" s="3">
        <v>3</v>
      </c>
      <c r="AQ61" s="3">
        <v>7</v>
      </c>
      <c r="AR61" s="3">
        <v>3</v>
      </c>
      <c r="AS61" s="3">
        <v>8</v>
      </c>
      <c r="AT61" s="3"/>
      <c r="AU61" s="3"/>
      <c r="AV61" s="3"/>
      <c r="AW61" s="3"/>
      <c r="AX61" s="3"/>
      <c r="AY61" s="3"/>
      <c r="AZ61" s="3"/>
      <c r="BA61" s="3"/>
      <c r="BB61" s="3">
        <v>1</v>
      </c>
      <c r="BC61" s="3"/>
      <c r="BD61" s="3"/>
      <c r="BE61" s="3"/>
      <c r="BF61" s="3"/>
      <c r="BG61" s="3"/>
      <c r="BH61" s="3"/>
      <c r="BI61" s="3"/>
      <c r="BJ61" s="3"/>
      <c r="BK61" s="3">
        <v>4</v>
      </c>
      <c r="BL61" s="3"/>
      <c r="BM61" s="3"/>
      <c r="BN61" s="3"/>
      <c r="BO61" s="3"/>
      <c r="BP61" s="3"/>
      <c r="BQ61" s="3">
        <v>1</v>
      </c>
      <c r="BR61" s="3"/>
      <c r="BS61" s="3">
        <v>9</v>
      </c>
      <c r="BT61" s="19">
        <v>9</v>
      </c>
      <c r="BU61" s="3">
        <v>1</v>
      </c>
      <c r="BV61" s="19">
        <v>1</v>
      </c>
      <c r="BW61" s="19">
        <v>1</v>
      </c>
      <c r="BX61" s="19">
        <v>9</v>
      </c>
      <c r="BY61" s="3"/>
      <c r="BZ61" s="3">
        <v>9</v>
      </c>
      <c r="CA61" s="3"/>
      <c r="CB61" s="19">
        <v>1</v>
      </c>
      <c r="CC61" s="3">
        <v>9</v>
      </c>
      <c r="CD61" s="3">
        <v>9</v>
      </c>
      <c r="CE61" s="19">
        <v>9</v>
      </c>
      <c r="CF61" s="3">
        <v>9</v>
      </c>
      <c r="CG61" s="3"/>
      <c r="CH61" s="3">
        <v>9</v>
      </c>
      <c r="CI61" s="3">
        <v>9</v>
      </c>
      <c r="CJ61" s="3">
        <v>9</v>
      </c>
      <c r="CK61" s="3">
        <v>9</v>
      </c>
      <c r="CL61" s="3">
        <v>9</v>
      </c>
      <c r="CM61" s="3"/>
      <c r="CN61" s="3"/>
      <c r="CO61" s="3"/>
      <c r="CP61" s="3"/>
      <c r="CT61" s="3">
        <v>9</v>
      </c>
      <c r="CU61" s="3">
        <v>6</v>
      </c>
      <c r="CV61" s="3">
        <v>5</v>
      </c>
      <c r="CW61" s="3">
        <v>9</v>
      </c>
      <c r="CX61" s="3">
        <v>9</v>
      </c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R61" s="3"/>
    </row>
    <row r="62" spans="1:142" ht="15" customHeight="1" x14ac:dyDescent="0.25">
      <c r="A62" s="6" t="s">
        <v>201</v>
      </c>
      <c r="B62" s="2" t="s">
        <v>784</v>
      </c>
      <c r="C62" s="2" t="s">
        <v>981</v>
      </c>
      <c r="D62" s="25" t="s">
        <v>786</v>
      </c>
      <c r="E62" s="4" t="s">
        <v>787</v>
      </c>
      <c r="F62" s="4" t="s">
        <v>793</v>
      </c>
      <c r="G62" s="26">
        <v>1883</v>
      </c>
      <c r="H62" s="4" t="s">
        <v>10</v>
      </c>
      <c r="I62" s="4" t="s">
        <v>982</v>
      </c>
      <c r="J62" s="4" t="s">
        <v>972</v>
      </c>
      <c r="K62" s="4" t="s">
        <v>983</v>
      </c>
      <c r="M62" s="5"/>
      <c r="N62" s="2" t="s">
        <v>984</v>
      </c>
      <c r="O62" s="28" t="s">
        <v>2407</v>
      </c>
      <c r="P62" s="3">
        <v>6</v>
      </c>
      <c r="Q62" s="27">
        <v>2</v>
      </c>
      <c r="R62" s="3"/>
      <c r="S62" s="3">
        <v>1</v>
      </c>
      <c r="T62" s="3"/>
      <c r="U62" s="3">
        <v>1</v>
      </c>
      <c r="V62" s="3">
        <v>5</v>
      </c>
      <c r="W62" s="3"/>
      <c r="X62" s="3"/>
      <c r="Y62" s="3">
        <v>4</v>
      </c>
      <c r="Z62" s="3">
        <v>4</v>
      </c>
      <c r="AA62" s="3">
        <v>2</v>
      </c>
      <c r="AB62" s="3">
        <v>3</v>
      </c>
      <c r="AC62" s="3"/>
      <c r="AD62" s="3">
        <v>2</v>
      </c>
      <c r="AE62" s="3">
        <v>5</v>
      </c>
      <c r="AF62" s="3">
        <v>1</v>
      </c>
      <c r="AG62" s="3">
        <v>0</v>
      </c>
      <c r="AH62" s="3">
        <v>0</v>
      </c>
      <c r="AI62" s="3"/>
      <c r="AJ62" s="3"/>
      <c r="AK62" s="3"/>
      <c r="AL62" s="3"/>
      <c r="AM62" s="3">
        <v>2</v>
      </c>
      <c r="AN62" s="3">
        <v>1</v>
      </c>
      <c r="AO62" s="3">
        <v>6</v>
      </c>
      <c r="AP62" s="3"/>
      <c r="AQ62" s="3">
        <v>7</v>
      </c>
      <c r="AR62" s="3">
        <v>3</v>
      </c>
      <c r="AS62" s="3">
        <v>3</v>
      </c>
      <c r="AT62" s="3"/>
      <c r="AU62" s="3"/>
      <c r="AV62" s="3"/>
      <c r="AW62" s="3"/>
      <c r="AX62" s="3"/>
      <c r="AY62" s="3"/>
      <c r="AZ62" s="3"/>
      <c r="BA62" s="3">
        <v>1</v>
      </c>
      <c r="BB62" s="3"/>
      <c r="BC62" s="3"/>
      <c r="BD62" s="3"/>
      <c r="BE62" s="3"/>
      <c r="BF62" s="3"/>
      <c r="BG62" s="3">
        <v>9</v>
      </c>
      <c r="BH62" s="3"/>
      <c r="BI62" s="3"/>
      <c r="BJ62" s="3"/>
      <c r="BK62" s="3">
        <v>5</v>
      </c>
      <c r="BL62" s="3"/>
      <c r="BM62" s="3"/>
      <c r="BN62" s="3">
        <v>4</v>
      </c>
      <c r="BO62" s="3"/>
      <c r="BP62" s="3"/>
      <c r="BQ62" s="3">
        <v>9</v>
      </c>
      <c r="BR62" s="3">
        <v>9</v>
      </c>
      <c r="BS62" s="3">
        <v>9</v>
      </c>
      <c r="BT62" s="19">
        <v>7</v>
      </c>
      <c r="BU62" s="3">
        <v>1</v>
      </c>
      <c r="BV62" s="19">
        <v>9</v>
      </c>
      <c r="BW62" s="19">
        <v>9</v>
      </c>
      <c r="BX62" s="19">
        <v>5</v>
      </c>
      <c r="BY62" s="19">
        <v>7</v>
      </c>
      <c r="BZ62" s="19">
        <v>9</v>
      </c>
      <c r="CA62" s="19">
        <v>8</v>
      </c>
      <c r="CB62" s="19">
        <v>9</v>
      </c>
      <c r="CC62" s="19">
        <v>1</v>
      </c>
      <c r="CD62" s="3">
        <v>1</v>
      </c>
      <c r="CE62" s="19">
        <v>9</v>
      </c>
      <c r="CF62" s="3">
        <v>1</v>
      </c>
      <c r="CG62" s="19">
        <v>9</v>
      </c>
      <c r="CH62" s="3">
        <v>1</v>
      </c>
      <c r="CI62" s="3">
        <v>1</v>
      </c>
      <c r="CJ62" s="3">
        <v>9</v>
      </c>
      <c r="CK62" s="3">
        <v>2</v>
      </c>
      <c r="CL62" s="3">
        <v>2</v>
      </c>
      <c r="CM62" s="3"/>
      <c r="CN62" s="3"/>
      <c r="CO62" s="3"/>
      <c r="CP62" s="3"/>
      <c r="CT62" s="3">
        <v>9</v>
      </c>
      <c r="CU62" s="3">
        <v>9</v>
      </c>
      <c r="CV62" s="3">
        <v>9</v>
      </c>
      <c r="CW62" s="3">
        <v>9</v>
      </c>
      <c r="CX62" s="3">
        <v>7</v>
      </c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R62" s="3"/>
      <c r="EE62" s="3"/>
      <c r="EF62" s="3"/>
      <c r="EG62" s="3"/>
      <c r="EH62" s="3"/>
      <c r="EI62" s="3"/>
      <c r="EJ62" s="3"/>
      <c r="EK62" s="3"/>
      <c r="EL62" s="3"/>
    </row>
    <row r="63" spans="1:142" s="3" customFormat="1" ht="15" customHeight="1" x14ac:dyDescent="0.25">
      <c r="A63" s="6" t="s">
        <v>202</v>
      </c>
      <c r="B63" s="2" t="s">
        <v>784</v>
      </c>
      <c r="C63" s="2" t="s">
        <v>985</v>
      </c>
      <c r="D63" s="25" t="s">
        <v>786</v>
      </c>
      <c r="E63" s="4" t="s">
        <v>787</v>
      </c>
      <c r="F63" s="4" t="s">
        <v>986</v>
      </c>
      <c r="G63" s="29"/>
      <c r="H63" s="4" t="s">
        <v>15</v>
      </c>
      <c r="I63" s="5"/>
      <c r="J63" s="4" t="s">
        <v>972</v>
      </c>
      <c r="K63" s="4" t="s">
        <v>987</v>
      </c>
      <c r="L63" s="2" t="s">
        <v>802</v>
      </c>
      <c r="M63" s="5"/>
      <c r="N63" s="2" t="s">
        <v>988</v>
      </c>
      <c r="O63" s="28" t="s">
        <v>2408</v>
      </c>
      <c r="P63" s="3">
        <v>6</v>
      </c>
      <c r="Q63" s="27">
        <v>1</v>
      </c>
      <c r="S63" s="3">
        <v>1</v>
      </c>
      <c r="U63" s="3">
        <v>9</v>
      </c>
      <c r="V63" s="3">
        <v>4</v>
      </c>
      <c r="Y63" s="3">
        <v>6</v>
      </c>
      <c r="Z63" s="3">
        <v>5</v>
      </c>
      <c r="AA63" s="3">
        <v>2</v>
      </c>
      <c r="AB63" s="3">
        <v>2</v>
      </c>
      <c r="AD63" s="3">
        <v>1</v>
      </c>
      <c r="AE63" s="3">
        <v>5</v>
      </c>
      <c r="AF63" s="3">
        <v>2</v>
      </c>
      <c r="AG63" s="3">
        <v>1</v>
      </c>
      <c r="AH63" s="3">
        <v>1</v>
      </c>
      <c r="AM63" s="3">
        <v>2</v>
      </c>
      <c r="AO63" s="3">
        <v>6</v>
      </c>
      <c r="BN63" s="3">
        <v>1</v>
      </c>
      <c r="BQ63" s="3">
        <v>9</v>
      </c>
      <c r="BS63" s="3">
        <v>9</v>
      </c>
      <c r="BT63" s="19">
        <v>9</v>
      </c>
      <c r="BU63" s="3">
        <v>7</v>
      </c>
      <c r="BV63" s="19">
        <v>9</v>
      </c>
      <c r="BW63" s="19">
        <v>9</v>
      </c>
      <c r="BX63" s="19">
        <v>9</v>
      </c>
      <c r="BZ63" s="19">
        <v>9</v>
      </c>
      <c r="CA63" s="19">
        <v>7</v>
      </c>
      <c r="CB63" s="19">
        <v>9</v>
      </c>
      <c r="CC63" s="19">
        <v>9</v>
      </c>
      <c r="CD63" s="3">
        <v>9</v>
      </c>
      <c r="CE63" s="19">
        <v>9</v>
      </c>
      <c r="CF63" s="3">
        <v>9</v>
      </c>
      <c r="CH63" s="3">
        <v>9</v>
      </c>
      <c r="CI63" s="3">
        <v>9</v>
      </c>
      <c r="CJ63" s="3">
        <v>8</v>
      </c>
      <c r="CK63" s="3">
        <v>9</v>
      </c>
      <c r="CL63" s="3">
        <v>9</v>
      </c>
      <c r="CM63" s="19">
        <v>9</v>
      </c>
      <c r="CT63" s="3">
        <v>9</v>
      </c>
      <c r="CU63" s="3">
        <v>9</v>
      </c>
      <c r="CV63" s="3">
        <v>7</v>
      </c>
      <c r="CW63" s="3">
        <v>9</v>
      </c>
      <c r="CX63" s="3">
        <v>9</v>
      </c>
      <c r="DS63" s="1"/>
      <c r="DT63" s="1"/>
      <c r="DU63" s="1"/>
      <c r="DV63" s="1"/>
      <c r="DW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</row>
    <row r="64" spans="1:142" ht="15" customHeight="1" x14ac:dyDescent="0.25">
      <c r="A64" s="6" t="s">
        <v>203</v>
      </c>
      <c r="B64" s="2" t="s">
        <v>784</v>
      </c>
      <c r="C64" s="2" t="s">
        <v>989</v>
      </c>
      <c r="D64" s="25" t="s">
        <v>786</v>
      </c>
      <c r="E64" s="4" t="s">
        <v>787</v>
      </c>
      <c r="F64" s="4" t="s">
        <v>822</v>
      </c>
      <c r="G64" s="29"/>
      <c r="H64" s="4" t="s">
        <v>16</v>
      </c>
      <c r="I64" s="5"/>
      <c r="J64" s="4" t="s">
        <v>972</v>
      </c>
      <c r="K64" s="4" t="s">
        <v>990</v>
      </c>
      <c r="M64" s="5"/>
      <c r="N64" s="2" t="s">
        <v>991</v>
      </c>
      <c r="O64" s="28" t="s">
        <v>2409</v>
      </c>
      <c r="P64" s="3">
        <v>7</v>
      </c>
      <c r="Q64" s="27">
        <v>1</v>
      </c>
      <c r="R64" s="19">
        <v>5</v>
      </c>
      <c r="S64" s="3">
        <v>1</v>
      </c>
      <c r="T64" s="3">
        <v>4</v>
      </c>
      <c r="U64" s="3">
        <v>1</v>
      </c>
      <c r="V64" s="3">
        <v>5</v>
      </c>
      <c r="W64" s="3"/>
      <c r="X64" s="3"/>
      <c r="Y64" s="3">
        <v>5</v>
      </c>
      <c r="Z64" s="3">
        <v>4</v>
      </c>
      <c r="AA64" s="3">
        <v>2</v>
      </c>
      <c r="AB64" s="3">
        <v>1</v>
      </c>
      <c r="AC64" s="3"/>
      <c r="AD64" s="3">
        <v>2</v>
      </c>
      <c r="AE64" s="3">
        <v>4</v>
      </c>
      <c r="AF64" s="3">
        <v>1</v>
      </c>
      <c r="AG64" s="3"/>
      <c r="AH64" s="3"/>
      <c r="AI64" s="3"/>
      <c r="AJ64" s="3"/>
      <c r="AK64" s="3"/>
      <c r="AL64" s="3"/>
      <c r="AM64" s="3">
        <v>1</v>
      </c>
      <c r="AN64" s="3"/>
      <c r="AO64" s="3">
        <v>6</v>
      </c>
      <c r="AP64" s="3">
        <v>3</v>
      </c>
      <c r="AQ64" s="3">
        <v>8</v>
      </c>
      <c r="AR64" s="3">
        <v>3</v>
      </c>
      <c r="AS64" s="3">
        <v>9</v>
      </c>
      <c r="AT64" s="3"/>
      <c r="AU64" s="3"/>
      <c r="AV64" s="3"/>
      <c r="AW64" s="3"/>
      <c r="AX64" s="3"/>
      <c r="AY64" s="3"/>
      <c r="AZ64" s="3"/>
      <c r="BA64" s="3"/>
      <c r="BB64" s="3">
        <v>1</v>
      </c>
      <c r="BC64" s="3"/>
      <c r="BD64" s="3"/>
      <c r="BE64" s="3"/>
      <c r="BF64" s="3"/>
      <c r="BG64" s="3"/>
      <c r="BH64" s="3">
        <v>2</v>
      </c>
      <c r="BI64" s="3"/>
      <c r="BJ64" s="3"/>
      <c r="BK64" s="3">
        <v>5</v>
      </c>
      <c r="BL64" s="3">
        <v>2</v>
      </c>
      <c r="BM64" s="3"/>
      <c r="BN64" s="3"/>
      <c r="BO64" s="3"/>
      <c r="BP64" s="3"/>
      <c r="BQ64" s="3">
        <v>1</v>
      </c>
      <c r="BR64" s="3"/>
      <c r="BS64" s="3">
        <v>9</v>
      </c>
      <c r="BT64" s="3"/>
      <c r="BU64" s="3"/>
      <c r="BV64" s="3"/>
      <c r="BW64" s="3"/>
      <c r="BX64" s="3"/>
      <c r="BY64" s="3"/>
      <c r="BZ64" s="3">
        <v>9</v>
      </c>
      <c r="CA64" s="3"/>
      <c r="CB64" s="3"/>
      <c r="CC64" s="3">
        <v>9</v>
      </c>
      <c r="CD64" s="3">
        <v>9</v>
      </c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R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</row>
    <row r="65" spans="1:142" ht="15" customHeight="1" x14ac:dyDescent="0.25">
      <c r="A65" s="6" t="s">
        <v>204</v>
      </c>
      <c r="B65" s="2" t="s">
        <v>784</v>
      </c>
      <c r="C65" s="2" t="s">
        <v>992</v>
      </c>
      <c r="D65" s="25" t="s">
        <v>786</v>
      </c>
      <c r="E65" s="4" t="s">
        <v>787</v>
      </c>
      <c r="F65" s="4" t="s">
        <v>822</v>
      </c>
      <c r="G65" s="26">
        <v>1968</v>
      </c>
      <c r="H65" s="4" t="s">
        <v>27</v>
      </c>
      <c r="I65" s="5"/>
      <c r="J65" s="4" t="s">
        <v>972</v>
      </c>
      <c r="K65" s="4" t="s">
        <v>27</v>
      </c>
      <c r="M65" s="5"/>
      <c r="N65" s="2" t="s">
        <v>993</v>
      </c>
      <c r="O65" s="28" t="s">
        <v>2410</v>
      </c>
      <c r="P65" s="3">
        <v>7</v>
      </c>
      <c r="Q65" s="27">
        <v>1</v>
      </c>
      <c r="R65" s="3"/>
      <c r="S65" s="3">
        <v>1</v>
      </c>
      <c r="T65" s="3"/>
      <c r="U65" s="3">
        <v>1</v>
      </c>
      <c r="V65" s="3">
        <v>5</v>
      </c>
      <c r="W65" s="3"/>
      <c r="X65" s="3"/>
      <c r="Y65" s="3">
        <v>3</v>
      </c>
      <c r="Z65" s="3">
        <v>3</v>
      </c>
      <c r="AA65" s="3">
        <v>2</v>
      </c>
      <c r="AB65" s="3">
        <v>3</v>
      </c>
      <c r="AC65" s="3"/>
      <c r="AD65" s="3">
        <v>2</v>
      </c>
      <c r="AE65" s="3">
        <v>5</v>
      </c>
      <c r="AF65" s="3">
        <v>1</v>
      </c>
      <c r="AG65" s="3"/>
      <c r="AH65" s="3"/>
      <c r="AI65" s="3"/>
      <c r="AJ65" s="3"/>
      <c r="AK65" s="3"/>
      <c r="AL65" s="3"/>
      <c r="AM65" s="3">
        <v>1</v>
      </c>
      <c r="AN65" s="3"/>
      <c r="AO65" s="3">
        <v>6</v>
      </c>
      <c r="AP65" s="3">
        <v>3</v>
      </c>
      <c r="AQ65" s="3">
        <v>8</v>
      </c>
      <c r="AR65" s="3">
        <v>4</v>
      </c>
      <c r="AS65" s="3">
        <v>8</v>
      </c>
      <c r="AT65" s="3"/>
      <c r="AU65" s="3"/>
      <c r="AV65" s="3"/>
      <c r="AW65" s="3"/>
      <c r="AX65" s="3"/>
      <c r="AY65" s="3"/>
      <c r="AZ65" s="3"/>
      <c r="BA65" s="3"/>
      <c r="BB65" s="3">
        <v>1</v>
      </c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>
        <v>1</v>
      </c>
      <c r="BR65" s="3"/>
      <c r="BS65" s="3">
        <v>9</v>
      </c>
      <c r="BT65" s="19">
        <v>9</v>
      </c>
      <c r="BU65" s="3">
        <v>1</v>
      </c>
      <c r="BV65" s="19">
        <v>1</v>
      </c>
      <c r="BW65" s="19">
        <v>1</v>
      </c>
      <c r="BX65" s="19">
        <v>9</v>
      </c>
      <c r="BY65" s="3"/>
      <c r="BZ65" s="3">
        <v>9</v>
      </c>
      <c r="CA65" s="19">
        <v>9</v>
      </c>
      <c r="CB65" s="19">
        <v>1</v>
      </c>
      <c r="CC65" s="3">
        <v>9</v>
      </c>
      <c r="CD65" s="3">
        <v>9</v>
      </c>
      <c r="CE65" s="19">
        <v>9</v>
      </c>
      <c r="CF65" s="3">
        <v>9</v>
      </c>
      <c r="CG65" s="3"/>
      <c r="CH65" s="3">
        <v>9</v>
      </c>
      <c r="CI65" s="3">
        <v>9</v>
      </c>
      <c r="CJ65" s="3">
        <v>9</v>
      </c>
      <c r="CK65" s="3">
        <v>9</v>
      </c>
      <c r="CL65" s="3">
        <v>9</v>
      </c>
      <c r="CM65" s="3"/>
      <c r="CN65" s="3"/>
      <c r="CO65" s="3"/>
      <c r="CP65" s="3"/>
      <c r="CT65" s="3">
        <v>9</v>
      </c>
      <c r="CU65" s="3">
        <v>9</v>
      </c>
      <c r="CV65" s="3">
        <v>7</v>
      </c>
      <c r="CW65" s="3">
        <v>9</v>
      </c>
      <c r="CX65" s="3">
        <v>9</v>
      </c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R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</row>
    <row r="66" spans="1:142" ht="15" customHeight="1" x14ac:dyDescent="0.25">
      <c r="A66" s="6" t="s">
        <v>205</v>
      </c>
      <c r="B66" s="2" t="s">
        <v>784</v>
      </c>
      <c r="C66" s="2" t="s">
        <v>994</v>
      </c>
      <c r="D66" s="25" t="s">
        <v>786</v>
      </c>
      <c r="E66" s="4" t="s">
        <v>787</v>
      </c>
      <c r="F66" s="4" t="s">
        <v>822</v>
      </c>
      <c r="G66" s="26">
        <v>1941</v>
      </c>
      <c r="H66" s="4" t="s">
        <v>30</v>
      </c>
      <c r="I66" s="5"/>
      <c r="J66" s="4" t="s">
        <v>972</v>
      </c>
      <c r="K66" s="4" t="s">
        <v>41</v>
      </c>
      <c r="L66" s="2" t="s">
        <v>802</v>
      </c>
      <c r="M66" s="5"/>
      <c r="N66" s="2" t="s">
        <v>995</v>
      </c>
      <c r="O66" s="28" t="s">
        <v>2411</v>
      </c>
      <c r="P66" s="3">
        <v>7</v>
      </c>
      <c r="Q66" s="27">
        <v>1</v>
      </c>
      <c r="R66" s="19">
        <v>7</v>
      </c>
      <c r="S66" s="3">
        <v>1</v>
      </c>
      <c r="T66" s="3">
        <v>4</v>
      </c>
      <c r="U66" s="3">
        <v>1</v>
      </c>
      <c r="V66" s="3">
        <v>5</v>
      </c>
      <c r="W66" s="3"/>
      <c r="X66" s="3"/>
      <c r="Y66" s="3">
        <v>3</v>
      </c>
      <c r="Z66" s="3"/>
      <c r="AA66" s="3">
        <v>2</v>
      </c>
      <c r="AB66" s="3">
        <v>3</v>
      </c>
      <c r="AC66" s="3"/>
      <c r="AD66" s="3">
        <v>2</v>
      </c>
      <c r="AE66" s="3">
        <v>5</v>
      </c>
      <c r="AF66" s="3">
        <v>1</v>
      </c>
      <c r="AG66" s="3">
        <v>0</v>
      </c>
      <c r="AH66" s="3">
        <v>0</v>
      </c>
      <c r="AI66" s="3"/>
      <c r="AJ66" s="3"/>
      <c r="AK66" s="3"/>
      <c r="AL66" s="3"/>
      <c r="AM66" s="3">
        <v>1</v>
      </c>
      <c r="AN66" s="3">
        <v>1</v>
      </c>
      <c r="AO66" s="3">
        <v>7</v>
      </c>
      <c r="AP66" s="3">
        <v>4</v>
      </c>
      <c r="AQ66" s="3">
        <v>8</v>
      </c>
      <c r="AR66" s="3">
        <v>4</v>
      </c>
      <c r="AS66" s="3">
        <v>8</v>
      </c>
      <c r="AT66" s="3"/>
      <c r="AU66" s="3"/>
      <c r="AV66" s="3"/>
      <c r="AW66" s="3"/>
      <c r="AX66" s="3"/>
      <c r="AY66" s="3"/>
      <c r="AZ66" s="3"/>
      <c r="BA66" s="3"/>
      <c r="BB66" s="3">
        <v>1</v>
      </c>
      <c r="BC66" s="3"/>
      <c r="BD66" s="3"/>
      <c r="BE66" s="3"/>
      <c r="BF66" s="3"/>
      <c r="BG66" s="3"/>
      <c r="BH66" s="3"/>
      <c r="BI66" s="3"/>
      <c r="BJ66" s="3"/>
      <c r="BK66" s="3">
        <v>5</v>
      </c>
      <c r="BL66" s="3"/>
      <c r="BM66" s="3"/>
      <c r="BN66" s="3">
        <v>4</v>
      </c>
      <c r="BO66" s="3"/>
      <c r="BP66" s="3"/>
      <c r="BQ66" s="3">
        <v>1</v>
      </c>
      <c r="BR66" s="3">
        <v>1</v>
      </c>
      <c r="BS66" s="3">
        <v>9</v>
      </c>
      <c r="BT66" s="19">
        <v>8</v>
      </c>
      <c r="BU66" s="3">
        <v>7</v>
      </c>
      <c r="BV66" s="3"/>
      <c r="BW66" s="19">
        <v>9</v>
      </c>
      <c r="BX66" s="19">
        <v>7</v>
      </c>
      <c r="BY66" s="19">
        <v>9</v>
      </c>
      <c r="BZ66" s="3">
        <v>9</v>
      </c>
      <c r="CA66" s="19">
        <v>9</v>
      </c>
      <c r="CB66" s="19">
        <v>1</v>
      </c>
      <c r="CC66" s="3">
        <v>9</v>
      </c>
      <c r="CD66" s="3">
        <v>9</v>
      </c>
      <c r="CE66" s="19">
        <v>9</v>
      </c>
      <c r="CF66" s="3">
        <v>9</v>
      </c>
      <c r="CG66" s="3"/>
      <c r="CH66" s="3">
        <v>9</v>
      </c>
      <c r="CI66" s="3">
        <v>9</v>
      </c>
      <c r="CJ66" s="3">
        <v>9</v>
      </c>
      <c r="CK66" s="3">
        <v>9</v>
      </c>
      <c r="CL66" s="3">
        <v>9</v>
      </c>
      <c r="CM66" s="3"/>
      <c r="CN66" s="3"/>
      <c r="CO66" s="3"/>
      <c r="CP66" s="3"/>
      <c r="CT66" s="3">
        <v>9</v>
      </c>
      <c r="CU66" s="3">
        <v>9</v>
      </c>
      <c r="CV66" s="3">
        <v>9</v>
      </c>
      <c r="CW66" s="3">
        <v>9</v>
      </c>
      <c r="CX66" s="3">
        <v>9</v>
      </c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R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</row>
    <row r="67" spans="1:142" ht="15" customHeight="1" x14ac:dyDescent="0.25">
      <c r="A67" s="6" t="s">
        <v>206</v>
      </c>
      <c r="B67" s="2" t="s">
        <v>784</v>
      </c>
      <c r="C67" s="2" t="s">
        <v>996</v>
      </c>
      <c r="D67" s="25" t="s">
        <v>786</v>
      </c>
      <c r="E67" s="4" t="s">
        <v>787</v>
      </c>
      <c r="F67" s="4" t="s">
        <v>997</v>
      </c>
      <c r="G67" s="29"/>
      <c r="H67" s="4" t="s">
        <v>38</v>
      </c>
      <c r="I67" s="5"/>
      <c r="J67" s="4" t="s">
        <v>972</v>
      </c>
      <c r="K67" s="4" t="s">
        <v>998</v>
      </c>
      <c r="M67" s="5"/>
      <c r="N67" s="2" t="s">
        <v>999</v>
      </c>
      <c r="O67" s="28" t="s">
        <v>2412</v>
      </c>
      <c r="P67" s="3">
        <v>7</v>
      </c>
      <c r="Q67" s="27">
        <v>1</v>
      </c>
      <c r="R67" s="3"/>
      <c r="S67" s="3">
        <v>1</v>
      </c>
      <c r="T67" s="3">
        <v>3</v>
      </c>
      <c r="U67" s="3">
        <v>1</v>
      </c>
      <c r="V67" s="3">
        <v>5</v>
      </c>
      <c r="W67" s="3"/>
      <c r="X67" s="3"/>
      <c r="Y67" s="3">
        <v>6</v>
      </c>
      <c r="Z67" s="3">
        <v>4</v>
      </c>
      <c r="AA67" s="3">
        <v>2</v>
      </c>
      <c r="AB67" s="3">
        <v>2</v>
      </c>
      <c r="AC67" s="3"/>
      <c r="AD67" s="3">
        <v>1</v>
      </c>
      <c r="AE67" s="3">
        <v>5</v>
      </c>
      <c r="AF67" s="3">
        <v>1</v>
      </c>
      <c r="AG67" s="3"/>
      <c r="AH67" s="3"/>
      <c r="AI67" s="3"/>
      <c r="AJ67" s="3"/>
      <c r="AK67" s="3"/>
      <c r="AL67" s="3"/>
      <c r="AM67" s="3">
        <v>1</v>
      </c>
      <c r="AN67" s="3"/>
      <c r="AO67" s="3">
        <v>5</v>
      </c>
      <c r="AP67" s="3">
        <v>3</v>
      </c>
      <c r="AQ67" s="3">
        <v>6</v>
      </c>
      <c r="AR67" s="3">
        <v>3</v>
      </c>
      <c r="AS67" s="3">
        <v>4</v>
      </c>
      <c r="AT67" s="3">
        <v>67</v>
      </c>
      <c r="AU67" s="3"/>
      <c r="AV67" s="3"/>
      <c r="AW67" s="3"/>
      <c r="AX67" s="3"/>
      <c r="AY67" s="3"/>
      <c r="AZ67" s="3"/>
      <c r="BA67" s="3"/>
      <c r="BB67" s="3">
        <v>1</v>
      </c>
      <c r="BC67" s="3"/>
      <c r="BD67" s="3">
        <v>28.7</v>
      </c>
      <c r="BE67" s="3">
        <v>13</v>
      </c>
      <c r="BF67" s="3"/>
      <c r="BG67" s="3"/>
      <c r="BH67" s="3"/>
      <c r="BI67" s="3"/>
      <c r="BJ67" s="3"/>
      <c r="BK67" s="3"/>
      <c r="BL67" s="3"/>
      <c r="BM67" s="3"/>
      <c r="BN67" s="3"/>
      <c r="BO67" s="3">
        <v>3</v>
      </c>
      <c r="BP67" s="3"/>
      <c r="BQ67" s="3"/>
      <c r="BR67" s="3">
        <v>7</v>
      </c>
      <c r="BS67" s="3">
        <v>9</v>
      </c>
      <c r="BT67" s="19">
        <v>9</v>
      </c>
      <c r="BU67" s="3">
        <v>5</v>
      </c>
      <c r="BV67" s="19">
        <v>7</v>
      </c>
      <c r="BW67" s="19">
        <v>9</v>
      </c>
      <c r="BX67" s="19">
        <v>9</v>
      </c>
      <c r="BY67" s="3"/>
      <c r="BZ67" s="19">
        <v>6</v>
      </c>
      <c r="CA67" s="19">
        <v>9</v>
      </c>
      <c r="CB67" s="19">
        <v>9</v>
      </c>
      <c r="CC67" s="19">
        <v>8</v>
      </c>
      <c r="CD67" s="3">
        <v>9</v>
      </c>
      <c r="CE67" s="19">
        <v>7</v>
      </c>
      <c r="CF67" s="3">
        <v>9</v>
      </c>
      <c r="CG67" s="3"/>
      <c r="CH67" s="3">
        <v>9</v>
      </c>
      <c r="CI67" s="3">
        <v>9</v>
      </c>
      <c r="CJ67" s="3">
        <v>9</v>
      </c>
      <c r="CK67" s="3">
        <v>9</v>
      </c>
      <c r="CL67" s="3">
        <v>9</v>
      </c>
      <c r="CM67" s="3"/>
      <c r="CN67" s="3"/>
      <c r="CO67" s="3"/>
      <c r="CP67" s="3"/>
      <c r="CT67" s="3">
        <v>8</v>
      </c>
      <c r="CU67" s="3">
        <v>7</v>
      </c>
      <c r="CV67" s="3">
        <v>5</v>
      </c>
      <c r="CW67" s="3">
        <v>9</v>
      </c>
      <c r="CX67" s="3">
        <v>9</v>
      </c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R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</row>
    <row r="68" spans="1:142" ht="15" customHeight="1" x14ac:dyDescent="0.25">
      <c r="A68" s="6" t="s">
        <v>207</v>
      </c>
      <c r="B68" s="2" t="s">
        <v>784</v>
      </c>
      <c r="C68" s="2" t="s">
        <v>1000</v>
      </c>
      <c r="D68" s="25" t="s">
        <v>786</v>
      </c>
      <c r="E68" s="4" t="s">
        <v>787</v>
      </c>
      <c r="F68" s="4" t="s">
        <v>793</v>
      </c>
      <c r="G68" s="26">
        <v>1924</v>
      </c>
      <c r="H68" s="4" t="s">
        <v>39</v>
      </c>
      <c r="I68" s="4" t="s">
        <v>1001</v>
      </c>
      <c r="J68" s="4" t="s">
        <v>972</v>
      </c>
      <c r="K68" s="4" t="s">
        <v>39</v>
      </c>
      <c r="M68" s="4" t="s">
        <v>1002</v>
      </c>
      <c r="N68" s="2" t="s">
        <v>1003</v>
      </c>
      <c r="O68" s="28" t="s">
        <v>2413</v>
      </c>
      <c r="P68" s="3">
        <v>7</v>
      </c>
      <c r="Q68" s="27">
        <v>1</v>
      </c>
      <c r="R68" s="19">
        <v>5</v>
      </c>
      <c r="S68" s="3"/>
      <c r="T68" s="3">
        <v>2</v>
      </c>
      <c r="U68" s="3">
        <v>1</v>
      </c>
      <c r="V68" s="3">
        <v>4</v>
      </c>
      <c r="W68" s="3"/>
      <c r="X68" s="3"/>
      <c r="Y68" s="3">
        <v>5</v>
      </c>
      <c r="Z68" s="3">
        <v>3</v>
      </c>
      <c r="AA68" s="3">
        <v>2</v>
      </c>
      <c r="AB68" s="3">
        <v>2</v>
      </c>
      <c r="AC68" s="3"/>
      <c r="AD68" s="3">
        <v>1</v>
      </c>
      <c r="AE68" s="3">
        <v>5</v>
      </c>
      <c r="AF68" s="3">
        <v>1</v>
      </c>
      <c r="AG68" s="3"/>
      <c r="AH68" s="3"/>
      <c r="AI68" s="3"/>
      <c r="AJ68" s="3"/>
      <c r="AK68" s="3"/>
      <c r="AL68" s="3"/>
      <c r="AM68" s="3">
        <v>2</v>
      </c>
      <c r="AN68" s="3"/>
      <c r="AO68" s="3">
        <v>6</v>
      </c>
      <c r="AP68" s="3">
        <v>2</v>
      </c>
      <c r="AQ68" s="3"/>
      <c r="AR68" s="3">
        <v>4</v>
      </c>
      <c r="AS68" s="3"/>
      <c r="AT68" s="3"/>
      <c r="AU68" s="3"/>
      <c r="AV68" s="3"/>
      <c r="AW68" s="3"/>
      <c r="AX68" s="3"/>
      <c r="AY68" s="3"/>
      <c r="AZ68" s="3"/>
      <c r="BA68" s="3"/>
      <c r="BB68" s="3">
        <v>1</v>
      </c>
      <c r="BC68" s="3"/>
      <c r="BD68" s="3"/>
      <c r="BE68" s="3"/>
      <c r="BF68" s="3"/>
      <c r="BG68" s="3"/>
      <c r="BH68" s="3"/>
      <c r="BI68" s="3">
        <v>1209</v>
      </c>
      <c r="BJ68" s="3">
        <v>1263</v>
      </c>
      <c r="BK68" s="3"/>
      <c r="BL68" s="3"/>
      <c r="BM68" s="3"/>
      <c r="BN68" s="3"/>
      <c r="BO68" s="3"/>
      <c r="BP68" s="3"/>
      <c r="BQ68" s="3">
        <v>1</v>
      </c>
      <c r="BR68" s="3">
        <v>9</v>
      </c>
      <c r="BS68" s="3">
        <v>1</v>
      </c>
      <c r="BT68" s="3">
        <v>1</v>
      </c>
      <c r="BU68" s="3">
        <v>9</v>
      </c>
      <c r="BV68" s="3">
        <v>9</v>
      </c>
      <c r="BW68" s="3">
        <v>9</v>
      </c>
      <c r="BX68" s="3">
        <v>9</v>
      </c>
      <c r="BY68" s="3">
        <v>1</v>
      </c>
      <c r="BZ68" s="3">
        <v>9</v>
      </c>
      <c r="CA68" s="3">
        <v>9</v>
      </c>
      <c r="CB68" s="3">
        <v>9</v>
      </c>
      <c r="CC68" s="3">
        <v>9</v>
      </c>
      <c r="CD68" s="3">
        <v>9</v>
      </c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T68" s="3"/>
      <c r="CU68" s="3"/>
      <c r="CV68" s="3"/>
      <c r="CW68" s="3"/>
      <c r="CX68" s="3"/>
      <c r="CY68" s="3"/>
      <c r="CZ68" s="3">
        <v>1</v>
      </c>
      <c r="DA68" s="3">
        <v>1</v>
      </c>
      <c r="DB68" s="3">
        <v>9</v>
      </c>
      <c r="DC68" s="3">
        <v>1</v>
      </c>
      <c r="DD68" s="3">
        <v>1</v>
      </c>
      <c r="DE68" s="3">
        <v>9</v>
      </c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R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</row>
    <row r="69" spans="1:142" ht="15" customHeight="1" x14ac:dyDescent="0.25">
      <c r="A69" s="6" t="s">
        <v>208</v>
      </c>
      <c r="B69" s="2" t="s">
        <v>784</v>
      </c>
      <c r="C69" s="2" t="s">
        <v>1004</v>
      </c>
      <c r="D69" s="25" t="s">
        <v>786</v>
      </c>
      <c r="E69" s="4" t="s">
        <v>787</v>
      </c>
      <c r="F69" s="4" t="s">
        <v>822</v>
      </c>
      <c r="G69" s="26">
        <v>1941</v>
      </c>
      <c r="H69" s="4" t="s">
        <v>41</v>
      </c>
      <c r="I69" s="5"/>
      <c r="J69" s="4" t="s">
        <v>972</v>
      </c>
      <c r="K69" s="4" t="s">
        <v>41</v>
      </c>
      <c r="L69" s="2" t="s">
        <v>802</v>
      </c>
      <c r="M69" s="5"/>
      <c r="N69" s="2" t="s">
        <v>1005</v>
      </c>
      <c r="O69" s="28" t="s">
        <v>2414</v>
      </c>
      <c r="P69" s="3">
        <v>7</v>
      </c>
      <c r="Q69" s="27">
        <v>1</v>
      </c>
      <c r="R69" s="19">
        <v>5</v>
      </c>
      <c r="S69" s="3">
        <v>1</v>
      </c>
      <c r="T69" s="3"/>
      <c r="U69" s="3">
        <v>1</v>
      </c>
      <c r="V69" s="3">
        <v>4</v>
      </c>
      <c r="W69" s="3"/>
      <c r="X69" s="19"/>
      <c r="Y69" s="3">
        <v>4</v>
      </c>
      <c r="Z69" s="3">
        <v>5</v>
      </c>
      <c r="AA69" s="3">
        <v>2</v>
      </c>
      <c r="AB69" s="3">
        <v>2</v>
      </c>
      <c r="AC69" s="3"/>
      <c r="AD69" s="3">
        <v>2</v>
      </c>
      <c r="AE69" s="3">
        <v>5</v>
      </c>
      <c r="AF69" s="3">
        <v>1</v>
      </c>
      <c r="AG69" s="3">
        <v>0</v>
      </c>
      <c r="AH69" s="3">
        <v>0</v>
      </c>
      <c r="AI69" s="3"/>
      <c r="AJ69" s="3"/>
      <c r="AK69" s="3"/>
      <c r="AL69" s="3"/>
      <c r="AM69" s="3">
        <v>1</v>
      </c>
      <c r="AN69" s="3">
        <v>3</v>
      </c>
      <c r="AO69" s="3">
        <v>7</v>
      </c>
      <c r="AP69" s="3">
        <v>3</v>
      </c>
      <c r="AQ69" s="3">
        <v>8</v>
      </c>
      <c r="AR69" s="3">
        <v>4</v>
      </c>
      <c r="AS69" s="3">
        <v>8</v>
      </c>
      <c r="AT69" s="3"/>
      <c r="AU69" s="3"/>
      <c r="AV69" s="3"/>
      <c r="AW69" s="3"/>
      <c r="AX69" s="3"/>
      <c r="AY69" s="3"/>
      <c r="AZ69" s="3"/>
      <c r="BA69" s="3"/>
      <c r="BB69" s="3">
        <v>1</v>
      </c>
      <c r="BC69" s="3"/>
      <c r="BD69" s="3"/>
      <c r="BE69" s="3"/>
      <c r="BF69" s="3"/>
      <c r="BG69" s="3">
        <v>9</v>
      </c>
      <c r="BH69" s="3"/>
      <c r="BI69" s="3"/>
      <c r="BJ69" s="3"/>
      <c r="BK69" s="3"/>
      <c r="BL69" s="3"/>
      <c r="BM69" s="3"/>
      <c r="BN69" s="3"/>
      <c r="BO69" s="3"/>
      <c r="BP69" s="3"/>
      <c r="BQ69" s="3">
        <v>2</v>
      </c>
      <c r="BR69" s="3">
        <v>4</v>
      </c>
      <c r="BS69" s="3">
        <v>9</v>
      </c>
      <c r="BT69" s="19">
        <v>8</v>
      </c>
      <c r="BU69" s="3">
        <v>9</v>
      </c>
      <c r="BV69" s="19">
        <v>3</v>
      </c>
      <c r="BW69" s="19">
        <v>9</v>
      </c>
      <c r="BX69" s="19">
        <v>9</v>
      </c>
      <c r="BY69" s="19">
        <v>9</v>
      </c>
      <c r="BZ69" s="3">
        <v>9</v>
      </c>
      <c r="CA69" s="19">
        <v>9</v>
      </c>
      <c r="CB69" s="19">
        <v>1</v>
      </c>
      <c r="CC69" s="3">
        <v>9</v>
      </c>
      <c r="CD69" s="3">
        <v>9</v>
      </c>
      <c r="CE69" s="19">
        <v>9</v>
      </c>
      <c r="CF69" s="3">
        <v>9</v>
      </c>
      <c r="CG69" s="19">
        <v>2</v>
      </c>
      <c r="CH69" s="3">
        <v>9</v>
      </c>
      <c r="CI69" s="3">
        <v>9</v>
      </c>
      <c r="CJ69" s="3">
        <v>9</v>
      </c>
      <c r="CK69" s="3">
        <v>7</v>
      </c>
      <c r="CL69" s="3">
        <v>9</v>
      </c>
      <c r="CM69" s="3"/>
      <c r="CN69" s="3"/>
      <c r="CO69" s="3"/>
      <c r="CP69" s="3"/>
      <c r="CT69" s="3">
        <v>9</v>
      </c>
      <c r="CU69" s="3">
        <v>9</v>
      </c>
      <c r="CV69" s="3">
        <v>9</v>
      </c>
      <c r="CW69" s="3">
        <v>9</v>
      </c>
      <c r="CX69" s="3">
        <v>7</v>
      </c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>
        <v>9</v>
      </c>
      <c r="DR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</row>
    <row r="70" spans="1:142" ht="15" customHeight="1" x14ac:dyDescent="0.25">
      <c r="A70" s="6" t="s">
        <v>209</v>
      </c>
      <c r="B70" s="2" t="s">
        <v>784</v>
      </c>
      <c r="C70" s="2" t="s">
        <v>1006</v>
      </c>
      <c r="D70" s="25" t="s">
        <v>786</v>
      </c>
      <c r="E70" s="4" t="s">
        <v>787</v>
      </c>
      <c r="F70" s="4" t="s">
        <v>822</v>
      </c>
      <c r="G70" s="26">
        <v>1959</v>
      </c>
      <c r="H70" s="4" t="s">
        <v>46</v>
      </c>
      <c r="I70" s="5"/>
      <c r="J70" s="4" t="s">
        <v>972</v>
      </c>
      <c r="K70" s="4" t="s">
        <v>46</v>
      </c>
      <c r="M70" s="5"/>
      <c r="N70" s="2" t="s">
        <v>1007</v>
      </c>
      <c r="O70" s="28" t="s">
        <v>2415</v>
      </c>
      <c r="P70" s="3">
        <v>7</v>
      </c>
      <c r="Q70" s="27">
        <v>2</v>
      </c>
      <c r="R70" s="19">
        <v>5</v>
      </c>
      <c r="S70" s="3">
        <v>1</v>
      </c>
      <c r="T70" s="3"/>
      <c r="U70" s="3">
        <v>1</v>
      </c>
      <c r="V70" s="3">
        <v>4</v>
      </c>
      <c r="W70" s="3"/>
      <c r="X70" s="19">
        <v>7</v>
      </c>
      <c r="Y70" s="3">
        <v>5</v>
      </c>
      <c r="Z70" s="3">
        <v>5</v>
      </c>
      <c r="AA70" s="3">
        <v>2</v>
      </c>
      <c r="AB70" s="3">
        <v>2</v>
      </c>
      <c r="AC70" s="3"/>
      <c r="AD70" s="3">
        <v>2</v>
      </c>
      <c r="AE70" s="3">
        <v>5</v>
      </c>
      <c r="AF70" s="3">
        <v>1</v>
      </c>
      <c r="AG70" s="3">
        <v>0</v>
      </c>
      <c r="AH70" s="3">
        <v>0</v>
      </c>
      <c r="AI70" s="3"/>
      <c r="AJ70" s="3"/>
      <c r="AK70" s="3"/>
      <c r="AL70" s="3"/>
      <c r="AM70" s="3">
        <v>1</v>
      </c>
      <c r="AN70" s="3">
        <v>2</v>
      </c>
      <c r="AO70" s="3">
        <v>8</v>
      </c>
      <c r="AP70" s="3"/>
      <c r="AQ70" s="3">
        <v>8</v>
      </c>
      <c r="AR70" s="3">
        <v>4</v>
      </c>
      <c r="AS70" s="3">
        <v>6</v>
      </c>
      <c r="AT70" s="3"/>
      <c r="AU70" s="3"/>
      <c r="AV70" s="3"/>
      <c r="AW70" s="3"/>
      <c r="AX70" s="3"/>
      <c r="AY70" s="3"/>
      <c r="AZ70" s="3"/>
      <c r="BA70" s="3"/>
      <c r="BB70" s="3">
        <v>1</v>
      </c>
      <c r="BC70" s="3"/>
      <c r="BD70" s="3"/>
      <c r="BE70" s="3"/>
      <c r="BF70" s="3"/>
      <c r="BG70" s="3">
        <v>9</v>
      </c>
      <c r="BH70" s="3">
        <v>2</v>
      </c>
      <c r="BI70" s="3"/>
      <c r="BJ70" s="3"/>
      <c r="BK70" s="3">
        <v>5</v>
      </c>
      <c r="BL70" s="3">
        <v>3</v>
      </c>
      <c r="BM70" s="3"/>
      <c r="BN70" s="3"/>
      <c r="BO70" s="3"/>
      <c r="BP70" s="3"/>
      <c r="BQ70" s="3">
        <v>1</v>
      </c>
      <c r="BR70" s="3">
        <v>1</v>
      </c>
      <c r="BS70" s="3">
        <v>9</v>
      </c>
      <c r="BT70" s="19">
        <v>9</v>
      </c>
      <c r="BU70" s="3">
        <v>6</v>
      </c>
      <c r="BV70" s="19">
        <v>1</v>
      </c>
      <c r="BW70" s="19">
        <v>9</v>
      </c>
      <c r="BX70" s="19">
        <v>9</v>
      </c>
      <c r="BY70" s="19">
        <v>9</v>
      </c>
      <c r="BZ70" s="3">
        <v>9</v>
      </c>
      <c r="CA70" s="19">
        <v>8</v>
      </c>
      <c r="CB70" s="19">
        <v>1</v>
      </c>
      <c r="CC70" s="3">
        <v>9</v>
      </c>
      <c r="CD70" s="3">
        <v>9</v>
      </c>
      <c r="CE70" s="19">
        <v>9</v>
      </c>
      <c r="CF70" s="3">
        <v>9</v>
      </c>
      <c r="CG70" s="19">
        <v>1</v>
      </c>
      <c r="CH70" s="3">
        <v>9</v>
      </c>
      <c r="CI70" s="3">
        <v>9</v>
      </c>
      <c r="CJ70" s="3">
        <v>9</v>
      </c>
      <c r="CK70" s="3">
        <v>9</v>
      </c>
      <c r="CL70" s="3">
        <v>9</v>
      </c>
      <c r="CM70" s="3"/>
      <c r="CN70" s="3"/>
      <c r="CO70" s="3"/>
      <c r="CP70" s="3"/>
      <c r="CT70" s="3">
        <v>8</v>
      </c>
      <c r="CU70" s="3">
        <v>9</v>
      </c>
      <c r="CV70" s="3">
        <v>7</v>
      </c>
      <c r="CW70" s="3">
        <v>9</v>
      </c>
      <c r="CX70" s="3">
        <v>9</v>
      </c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>
        <v>9</v>
      </c>
      <c r="DR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</row>
    <row r="71" spans="1:142" ht="15" customHeight="1" x14ac:dyDescent="0.25">
      <c r="A71" s="6" t="s">
        <v>210</v>
      </c>
      <c r="B71" s="2" t="s">
        <v>784</v>
      </c>
      <c r="C71" s="2" t="s">
        <v>1008</v>
      </c>
      <c r="D71" s="25" t="s">
        <v>786</v>
      </c>
      <c r="E71" s="4" t="s">
        <v>787</v>
      </c>
      <c r="F71" s="4" t="s">
        <v>822</v>
      </c>
      <c r="G71" s="26">
        <v>1895</v>
      </c>
      <c r="H71" s="4" t="s">
        <v>52</v>
      </c>
      <c r="I71" s="5"/>
      <c r="J71" s="4" t="s">
        <v>972</v>
      </c>
      <c r="K71" s="4" t="s">
        <v>52</v>
      </c>
      <c r="M71" s="5"/>
      <c r="N71" s="2" t="s">
        <v>1009</v>
      </c>
      <c r="O71" s="28" t="s">
        <v>2416</v>
      </c>
      <c r="P71" s="3">
        <v>7</v>
      </c>
      <c r="Q71" s="27">
        <v>2</v>
      </c>
      <c r="R71" s="3"/>
      <c r="S71" s="3">
        <v>2</v>
      </c>
      <c r="T71" s="3"/>
      <c r="U71" s="3">
        <v>9</v>
      </c>
      <c r="V71" s="3">
        <v>6</v>
      </c>
      <c r="W71" s="3"/>
      <c r="X71" s="3"/>
      <c r="Y71" s="3">
        <v>7</v>
      </c>
      <c r="Z71" s="3">
        <v>3</v>
      </c>
      <c r="AA71" s="3">
        <v>2</v>
      </c>
      <c r="AB71" s="3">
        <v>1</v>
      </c>
      <c r="AC71" s="3"/>
      <c r="AD71" s="3">
        <v>5</v>
      </c>
      <c r="AE71" s="3">
        <v>5</v>
      </c>
      <c r="AF71" s="3">
        <v>5</v>
      </c>
      <c r="AG71" s="3">
        <v>2</v>
      </c>
      <c r="AH71" s="3">
        <v>1</v>
      </c>
      <c r="AI71" s="3"/>
      <c r="AJ71" s="3"/>
      <c r="AK71" s="3"/>
      <c r="AL71" s="3"/>
      <c r="AM71" s="3">
        <v>2</v>
      </c>
      <c r="AN71" s="3"/>
      <c r="AO71" s="3">
        <v>4</v>
      </c>
      <c r="AP71" s="3">
        <v>3</v>
      </c>
      <c r="AQ71" s="3">
        <v>5</v>
      </c>
      <c r="AR71" s="3">
        <v>3</v>
      </c>
      <c r="AS71" s="3">
        <v>8</v>
      </c>
      <c r="AT71" s="3"/>
      <c r="AU71" s="3"/>
      <c r="AV71" s="3"/>
      <c r="AW71" s="3"/>
      <c r="AX71" s="3"/>
      <c r="AY71" s="3"/>
      <c r="AZ71" s="3"/>
      <c r="BA71" s="3"/>
      <c r="BB71" s="3">
        <v>9</v>
      </c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>
        <v>9</v>
      </c>
      <c r="BR71" s="3">
        <v>9</v>
      </c>
      <c r="BS71" s="3">
        <v>9</v>
      </c>
      <c r="BT71" s="19">
        <v>9</v>
      </c>
      <c r="BU71" s="3">
        <v>7</v>
      </c>
      <c r="BV71" s="19">
        <v>9</v>
      </c>
      <c r="BW71" s="19">
        <v>9</v>
      </c>
      <c r="BX71" s="19">
        <v>5</v>
      </c>
      <c r="BY71" s="19">
        <v>9</v>
      </c>
      <c r="BZ71" s="19">
        <v>9</v>
      </c>
      <c r="CA71" s="19">
        <v>9</v>
      </c>
      <c r="CB71" s="19">
        <v>9</v>
      </c>
      <c r="CC71" s="19">
        <v>9</v>
      </c>
      <c r="CD71" s="3">
        <v>9</v>
      </c>
      <c r="CE71" s="19">
        <v>9</v>
      </c>
      <c r="CF71" s="3">
        <v>9</v>
      </c>
      <c r="CG71" s="19">
        <v>9</v>
      </c>
      <c r="CH71" s="3">
        <v>9</v>
      </c>
      <c r="CI71" s="3">
        <v>9</v>
      </c>
      <c r="CJ71" s="3">
        <v>9</v>
      </c>
      <c r="CK71" s="3">
        <v>7</v>
      </c>
      <c r="CL71" s="3">
        <v>9</v>
      </c>
      <c r="CM71" s="19">
        <v>9</v>
      </c>
      <c r="CN71" s="3"/>
      <c r="CO71" s="3"/>
      <c r="CP71" s="3"/>
      <c r="CT71" s="3">
        <v>9</v>
      </c>
      <c r="CU71" s="3">
        <v>9</v>
      </c>
      <c r="CV71" s="3">
        <v>9</v>
      </c>
      <c r="CW71" s="3">
        <v>9</v>
      </c>
      <c r="CX71" s="3">
        <v>9</v>
      </c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R71" s="3"/>
    </row>
    <row r="72" spans="1:142" ht="15" customHeight="1" x14ac:dyDescent="0.25">
      <c r="A72" s="6" t="s">
        <v>211</v>
      </c>
      <c r="B72" s="2" t="s">
        <v>784</v>
      </c>
      <c r="C72" s="2" t="s">
        <v>1010</v>
      </c>
      <c r="D72" s="25" t="s">
        <v>786</v>
      </c>
      <c r="E72" s="4" t="s">
        <v>787</v>
      </c>
      <c r="F72" s="4" t="s">
        <v>793</v>
      </c>
      <c r="G72" s="26">
        <v>1955</v>
      </c>
      <c r="H72" s="4" t="s">
        <v>68</v>
      </c>
      <c r="I72" s="5"/>
      <c r="J72" s="4" t="s">
        <v>972</v>
      </c>
      <c r="K72" s="4" t="s">
        <v>68</v>
      </c>
      <c r="M72" s="4" t="s">
        <v>1011</v>
      </c>
      <c r="N72" s="2" t="s">
        <v>1012</v>
      </c>
      <c r="O72" s="28" t="s">
        <v>2417</v>
      </c>
      <c r="P72" s="3">
        <v>7</v>
      </c>
      <c r="Q72" s="27">
        <v>2</v>
      </c>
      <c r="R72" s="3"/>
      <c r="S72" s="3">
        <v>1</v>
      </c>
      <c r="T72" s="3"/>
      <c r="U72" s="3"/>
      <c r="V72" s="3">
        <v>5</v>
      </c>
      <c r="W72" s="3"/>
      <c r="X72" s="3"/>
      <c r="Y72" s="3">
        <v>7</v>
      </c>
      <c r="Z72" s="3">
        <v>6</v>
      </c>
      <c r="AA72" s="3">
        <v>2</v>
      </c>
      <c r="AB72" s="3">
        <v>2</v>
      </c>
      <c r="AC72" s="3"/>
      <c r="AD72" s="3">
        <v>5</v>
      </c>
      <c r="AE72" s="3">
        <v>5</v>
      </c>
      <c r="AF72" s="3">
        <v>7</v>
      </c>
      <c r="AG72" s="3">
        <v>2</v>
      </c>
      <c r="AH72" s="3">
        <v>1</v>
      </c>
      <c r="AI72" s="3"/>
      <c r="AJ72" s="3"/>
      <c r="AK72" s="3"/>
      <c r="AL72" s="3"/>
      <c r="AM72" s="3">
        <v>2</v>
      </c>
      <c r="AN72" s="3">
        <v>1</v>
      </c>
      <c r="AO72" s="3">
        <v>5</v>
      </c>
      <c r="AP72" s="3"/>
      <c r="AQ72" s="3"/>
      <c r="AR72" s="3">
        <v>4</v>
      </c>
      <c r="AS72" s="3">
        <v>3</v>
      </c>
      <c r="AT72" s="3"/>
      <c r="AU72" s="3"/>
      <c r="AV72" s="3"/>
      <c r="AW72" s="3"/>
      <c r="AX72" s="3"/>
      <c r="AY72" s="3"/>
      <c r="AZ72" s="3"/>
      <c r="BA72" s="3">
        <v>1</v>
      </c>
      <c r="BB72" s="3">
        <v>9</v>
      </c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>
        <v>9</v>
      </c>
      <c r="BR72" s="3">
        <v>9</v>
      </c>
      <c r="BS72" s="3">
        <v>9</v>
      </c>
      <c r="BT72" s="19">
        <v>5</v>
      </c>
      <c r="BU72" s="3">
        <v>1</v>
      </c>
      <c r="BV72" s="19">
        <v>9</v>
      </c>
      <c r="BW72" s="19">
        <v>9</v>
      </c>
      <c r="BX72" s="19">
        <v>5</v>
      </c>
      <c r="BY72" s="19">
        <v>9</v>
      </c>
      <c r="BZ72" s="19">
        <v>9</v>
      </c>
      <c r="CA72" s="19">
        <v>9</v>
      </c>
      <c r="CB72" s="19">
        <v>9</v>
      </c>
      <c r="CC72" s="19">
        <v>1</v>
      </c>
      <c r="CD72" s="3">
        <v>1</v>
      </c>
      <c r="CE72" s="19">
        <v>9</v>
      </c>
      <c r="CF72" s="3">
        <v>1</v>
      </c>
      <c r="CG72" s="19">
        <v>9</v>
      </c>
      <c r="CH72" s="3">
        <v>3</v>
      </c>
      <c r="CI72" s="3">
        <v>1</v>
      </c>
      <c r="CJ72" s="3">
        <v>9</v>
      </c>
      <c r="CK72" s="3">
        <v>2</v>
      </c>
      <c r="CL72" s="3">
        <v>1</v>
      </c>
      <c r="CM72" s="3"/>
      <c r="CN72" s="3"/>
      <c r="CO72" s="3"/>
      <c r="CP72" s="3"/>
      <c r="CT72" s="3">
        <v>9</v>
      </c>
      <c r="CU72" s="3">
        <v>9</v>
      </c>
      <c r="CV72" s="3">
        <v>9</v>
      </c>
      <c r="CW72" s="3">
        <v>9</v>
      </c>
      <c r="CX72" s="3">
        <v>5</v>
      </c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</row>
    <row r="73" spans="1:142" ht="15" customHeight="1" x14ac:dyDescent="0.25">
      <c r="A73" s="6" t="s">
        <v>212</v>
      </c>
      <c r="B73" s="2" t="s">
        <v>784</v>
      </c>
      <c r="C73" s="2" t="s">
        <v>1013</v>
      </c>
      <c r="D73" s="25" t="s">
        <v>786</v>
      </c>
      <c r="E73" s="5"/>
      <c r="F73" s="4" t="s">
        <v>1014</v>
      </c>
      <c r="G73" s="29"/>
      <c r="H73" s="4" t="s">
        <v>55</v>
      </c>
      <c r="I73" s="4" t="s">
        <v>1015</v>
      </c>
      <c r="J73" s="4" t="s">
        <v>972</v>
      </c>
      <c r="K73" s="4" t="s">
        <v>1016</v>
      </c>
      <c r="M73" s="5"/>
      <c r="N73" s="2" t="s">
        <v>1017</v>
      </c>
      <c r="O73" s="28" t="s">
        <v>2418</v>
      </c>
      <c r="P73" s="3">
        <v>6</v>
      </c>
      <c r="Q73" s="27">
        <v>1</v>
      </c>
      <c r="R73" s="3"/>
      <c r="S73" s="3"/>
      <c r="T73" s="3">
        <v>2</v>
      </c>
      <c r="U73" s="3">
        <v>1</v>
      </c>
      <c r="V73" s="3">
        <v>5</v>
      </c>
      <c r="W73" s="3"/>
      <c r="X73" s="3"/>
      <c r="Y73" s="3">
        <v>7</v>
      </c>
      <c r="Z73" s="3">
        <v>6</v>
      </c>
      <c r="AA73" s="3">
        <v>2</v>
      </c>
      <c r="AB73" s="3">
        <v>2</v>
      </c>
      <c r="AC73" s="3"/>
      <c r="AD73" s="3">
        <v>1</v>
      </c>
      <c r="AE73" s="3">
        <v>3</v>
      </c>
      <c r="AF73" s="3">
        <v>1</v>
      </c>
      <c r="AG73" s="3">
        <v>0</v>
      </c>
      <c r="AH73" s="3">
        <v>0</v>
      </c>
      <c r="AI73" s="3"/>
      <c r="AJ73" s="3"/>
      <c r="AK73" s="3"/>
      <c r="AL73" s="3"/>
      <c r="AM73" s="3">
        <v>1</v>
      </c>
      <c r="AN73" s="3">
        <v>3</v>
      </c>
      <c r="AO73" s="3">
        <v>6</v>
      </c>
      <c r="AP73" s="3"/>
      <c r="AQ73" s="3">
        <v>6</v>
      </c>
      <c r="AR73" s="3">
        <v>4</v>
      </c>
      <c r="AS73" s="3">
        <v>5</v>
      </c>
      <c r="AT73" s="3"/>
      <c r="AU73" s="3"/>
      <c r="AV73" s="3"/>
      <c r="AW73" s="3"/>
      <c r="AX73" s="3"/>
      <c r="AY73" s="3"/>
      <c r="AZ73" s="3"/>
      <c r="BA73" s="3"/>
      <c r="BB73" s="3">
        <v>1</v>
      </c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>
        <v>9</v>
      </c>
      <c r="BR73" s="3">
        <v>9</v>
      </c>
      <c r="BS73" s="3">
        <v>9</v>
      </c>
      <c r="BT73" s="19">
        <v>8</v>
      </c>
      <c r="BU73" s="3">
        <v>7</v>
      </c>
      <c r="BV73" s="19">
        <v>9</v>
      </c>
      <c r="BW73" s="19">
        <v>9</v>
      </c>
      <c r="BX73" s="19">
        <v>7</v>
      </c>
      <c r="BY73" s="19">
        <v>9</v>
      </c>
      <c r="BZ73" s="19">
        <v>9</v>
      </c>
      <c r="CA73" s="19">
        <v>9</v>
      </c>
      <c r="CB73" s="19">
        <v>9</v>
      </c>
      <c r="CC73" s="19">
        <v>7</v>
      </c>
      <c r="CD73" s="3">
        <v>8</v>
      </c>
      <c r="CE73" s="19">
        <v>9</v>
      </c>
      <c r="CF73" s="3">
        <v>9</v>
      </c>
      <c r="CG73" s="19">
        <v>9</v>
      </c>
      <c r="CH73" s="3">
        <v>7</v>
      </c>
      <c r="CI73" s="3">
        <v>9</v>
      </c>
      <c r="CJ73" s="3">
        <v>9</v>
      </c>
      <c r="CK73" s="3">
        <v>9</v>
      </c>
      <c r="CL73" s="3">
        <v>9</v>
      </c>
      <c r="CM73" s="19">
        <v>9</v>
      </c>
      <c r="CN73" s="3"/>
      <c r="CO73" s="3"/>
      <c r="CP73" s="3"/>
      <c r="CT73" s="3">
        <v>8</v>
      </c>
      <c r="CU73" s="3">
        <v>9</v>
      </c>
      <c r="CV73" s="3">
        <v>8</v>
      </c>
      <c r="CW73" s="3">
        <v>9</v>
      </c>
      <c r="CX73" s="3">
        <v>9</v>
      </c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R73" s="3"/>
      <c r="DS73" s="3"/>
      <c r="DT73" s="3"/>
    </row>
    <row r="74" spans="1:142" ht="15" customHeight="1" x14ac:dyDescent="0.25">
      <c r="A74" s="6" t="s">
        <v>213</v>
      </c>
      <c r="B74" s="2" t="s">
        <v>784</v>
      </c>
      <c r="C74" s="2" t="s">
        <v>1018</v>
      </c>
      <c r="D74" s="25" t="s">
        <v>786</v>
      </c>
      <c r="E74" s="4" t="s">
        <v>787</v>
      </c>
      <c r="F74" s="4" t="s">
        <v>822</v>
      </c>
      <c r="G74" s="29"/>
      <c r="H74" s="4" t="s">
        <v>86</v>
      </c>
      <c r="I74" s="5"/>
      <c r="J74" s="4" t="s">
        <v>972</v>
      </c>
      <c r="K74" s="4" t="s">
        <v>41</v>
      </c>
      <c r="M74" s="4" t="s">
        <v>1019</v>
      </c>
      <c r="N74" s="2" t="s">
        <v>1020</v>
      </c>
      <c r="O74" s="28" t="s">
        <v>2419</v>
      </c>
      <c r="P74" s="3">
        <v>7</v>
      </c>
      <c r="Q74" s="27">
        <v>1</v>
      </c>
      <c r="R74" s="3"/>
      <c r="S74" s="3">
        <v>1</v>
      </c>
      <c r="T74" s="3"/>
      <c r="U74" s="3">
        <v>1</v>
      </c>
      <c r="V74" s="3">
        <v>6</v>
      </c>
      <c r="W74" s="3"/>
      <c r="X74" s="3"/>
      <c r="Y74" s="3">
        <v>4</v>
      </c>
      <c r="Z74" s="3">
        <v>4</v>
      </c>
      <c r="AA74" s="3">
        <v>2</v>
      </c>
      <c r="AB74" s="3">
        <v>2</v>
      </c>
      <c r="AC74" s="3"/>
      <c r="AD74" s="3">
        <v>2</v>
      </c>
      <c r="AE74" s="3">
        <v>5</v>
      </c>
      <c r="AF74" s="3">
        <v>1</v>
      </c>
      <c r="AG74" s="3"/>
      <c r="AH74" s="3"/>
      <c r="AI74" s="3"/>
      <c r="AJ74" s="3"/>
      <c r="AK74" s="3"/>
      <c r="AL74" s="3"/>
      <c r="AM74" s="3">
        <v>1</v>
      </c>
      <c r="AN74" s="3"/>
      <c r="AO74" s="3">
        <v>6</v>
      </c>
      <c r="AP74" s="3">
        <v>3</v>
      </c>
      <c r="AQ74" s="3">
        <v>8</v>
      </c>
      <c r="AR74" s="3">
        <v>3</v>
      </c>
      <c r="AS74" s="3">
        <v>8</v>
      </c>
      <c r="AT74" s="3"/>
      <c r="AU74" s="3"/>
      <c r="AV74" s="3"/>
      <c r="AW74" s="3"/>
      <c r="AX74" s="3"/>
      <c r="AY74" s="3"/>
      <c r="AZ74" s="3"/>
      <c r="BA74" s="3">
        <v>1</v>
      </c>
      <c r="BB74" s="3">
        <v>1</v>
      </c>
      <c r="BC74" s="3"/>
      <c r="BD74" s="3"/>
      <c r="BE74" s="3"/>
      <c r="BF74" s="3"/>
      <c r="BG74" s="3">
        <v>9</v>
      </c>
      <c r="BH74" s="3">
        <v>2</v>
      </c>
      <c r="BI74" s="3"/>
      <c r="BJ74" s="3"/>
      <c r="BK74" s="3">
        <v>5</v>
      </c>
      <c r="BL74" s="3">
        <v>2</v>
      </c>
      <c r="BM74" s="3"/>
      <c r="BN74" s="3"/>
      <c r="BO74" s="3"/>
      <c r="BP74" s="3"/>
      <c r="BQ74" s="3">
        <v>9</v>
      </c>
      <c r="BR74" s="3">
        <v>9</v>
      </c>
      <c r="BS74" s="3">
        <v>9</v>
      </c>
      <c r="BT74" s="3">
        <v>9</v>
      </c>
      <c r="BU74" s="3">
        <v>8</v>
      </c>
      <c r="BV74" s="3">
        <v>9</v>
      </c>
      <c r="BW74" s="3">
        <v>9</v>
      </c>
      <c r="BX74" s="3">
        <v>9</v>
      </c>
      <c r="BY74" s="3">
        <v>9</v>
      </c>
      <c r="BZ74" s="3">
        <v>9</v>
      </c>
      <c r="CA74" s="3">
        <v>9</v>
      </c>
      <c r="CB74" s="3">
        <v>9</v>
      </c>
      <c r="CC74" s="3">
        <v>9</v>
      </c>
      <c r="CD74" s="3">
        <v>9</v>
      </c>
      <c r="CE74" s="19">
        <v>9</v>
      </c>
      <c r="CF74" s="3">
        <v>9</v>
      </c>
      <c r="CG74" s="19">
        <v>9</v>
      </c>
      <c r="CH74" s="3">
        <v>9</v>
      </c>
      <c r="CI74" s="3">
        <v>9</v>
      </c>
      <c r="CJ74" s="3">
        <v>9</v>
      </c>
      <c r="CK74" s="3">
        <v>9</v>
      </c>
      <c r="CL74" s="3">
        <v>9</v>
      </c>
      <c r="CM74" s="3"/>
      <c r="CN74" s="3"/>
      <c r="CO74" s="3"/>
      <c r="CP74" s="3"/>
      <c r="CT74" s="3">
        <v>8</v>
      </c>
      <c r="CU74" s="3">
        <v>9</v>
      </c>
      <c r="CV74" s="3">
        <v>8</v>
      </c>
      <c r="CW74" s="3">
        <v>9</v>
      </c>
      <c r="CX74" s="3">
        <v>9</v>
      </c>
      <c r="CY74" s="3"/>
      <c r="CZ74" s="3">
        <v>1</v>
      </c>
      <c r="DA74" s="3">
        <v>1</v>
      </c>
      <c r="DB74" s="3">
        <v>1</v>
      </c>
      <c r="DC74" s="3">
        <v>1</v>
      </c>
      <c r="DD74" s="3">
        <v>1</v>
      </c>
      <c r="DE74" s="3">
        <v>1</v>
      </c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>
        <v>9</v>
      </c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</row>
    <row r="75" spans="1:142" ht="15" customHeight="1" x14ac:dyDescent="0.25">
      <c r="A75" s="6" t="s">
        <v>214</v>
      </c>
      <c r="B75" s="2" t="s">
        <v>784</v>
      </c>
      <c r="C75" s="2" t="s">
        <v>1021</v>
      </c>
      <c r="D75" s="25" t="s">
        <v>786</v>
      </c>
      <c r="E75" s="4" t="s">
        <v>787</v>
      </c>
      <c r="F75" s="4" t="s">
        <v>793</v>
      </c>
      <c r="G75" s="26">
        <v>1979</v>
      </c>
      <c r="H75" s="4" t="s">
        <v>99</v>
      </c>
      <c r="I75" s="5"/>
      <c r="J75" s="4" t="s">
        <v>972</v>
      </c>
      <c r="K75" s="4" t="s">
        <v>998</v>
      </c>
      <c r="L75" s="2" t="s">
        <v>790</v>
      </c>
      <c r="M75" s="5"/>
      <c r="N75" s="2" t="s">
        <v>1022</v>
      </c>
      <c r="O75" s="28" t="s">
        <v>2420</v>
      </c>
      <c r="P75" s="3">
        <v>7</v>
      </c>
      <c r="Q75" s="27">
        <v>1</v>
      </c>
      <c r="R75" s="3"/>
      <c r="S75" s="3">
        <v>1</v>
      </c>
      <c r="T75" s="3"/>
      <c r="U75" s="3">
        <v>1</v>
      </c>
      <c r="V75" s="3">
        <v>4</v>
      </c>
      <c r="W75" s="3"/>
      <c r="X75" s="3"/>
      <c r="Y75" s="3">
        <v>7</v>
      </c>
      <c r="Z75" s="3">
        <v>4</v>
      </c>
      <c r="AA75" s="3">
        <v>1</v>
      </c>
      <c r="AB75" s="3">
        <v>2</v>
      </c>
      <c r="AC75" s="3"/>
      <c r="AD75" s="3">
        <v>2</v>
      </c>
      <c r="AE75" s="3">
        <v>4</v>
      </c>
      <c r="AF75" s="3">
        <v>1</v>
      </c>
      <c r="AG75" s="3"/>
      <c r="AH75" s="3"/>
      <c r="AI75" s="3"/>
      <c r="AJ75" s="3"/>
      <c r="AK75" s="3"/>
      <c r="AL75" s="3"/>
      <c r="AM75" s="3">
        <v>1</v>
      </c>
      <c r="AN75" s="3">
        <v>2</v>
      </c>
      <c r="AO75" s="3">
        <v>6</v>
      </c>
      <c r="AP75" s="3">
        <v>3</v>
      </c>
      <c r="AQ75" s="3">
        <v>7</v>
      </c>
      <c r="AR75" s="3">
        <v>3</v>
      </c>
      <c r="AS75" s="3">
        <v>6</v>
      </c>
      <c r="AT75" s="3"/>
      <c r="AU75" s="3">
        <v>120.5</v>
      </c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>
        <v>9</v>
      </c>
      <c r="BH75" s="3"/>
      <c r="BI75" s="3"/>
      <c r="BJ75" s="3"/>
      <c r="BK75" s="3"/>
      <c r="BL75" s="3"/>
      <c r="BM75" s="3"/>
      <c r="BN75" s="3"/>
      <c r="BO75" s="3"/>
      <c r="BP75" s="3"/>
      <c r="BQ75" s="3">
        <v>9</v>
      </c>
      <c r="BR75" s="3">
        <v>8</v>
      </c>
      <c r="BS75" s="3">
        <v>1</v>
      </c>
      <c r="BT75" s="19">
        <v>8</v>
      </c>
      <c r="BU75" s="3">
        <v>8</v>
      </c>
      <c r="BV75" s="19">
        <v>9</v>
      </c>
      <c r="BW75" s="19">
        <v>9</v>
      </c>
      <c r="BX75" s="19">
        <v>9</v>
      </c>
      <c r="BY75" s="19">
        <v>7</v>
      </c>
      <c r="BZ75" s="19">
        <v>9</v>
      </c>
      <c r="CA75" s="19">
        <v>7</v>
      </c>
      <c r="CB75" s="19">
        <v>9</v>
      </c>
      <c r="CC75" s="19">
        <v>9</v>
      </c>
      <c r="CD75" s="3">
        <v>9</v>
      </c>
      <c r="CE75" s="19">
        <v>1</v>
      </c>
      <c r="CF75" s="3">
        <v>7</v>
      </c>
      <c r="CG75" s="19">
        <v>1</v>
      </c>
      <c r="CH75" s="3">
        <v>8</v>
      </c>
      <c r="CI75" s="3">
        <v>9</v>
      </c>
      <c r="CJ75" s="3">
        <v>9</v>
      </c>
      <c r="CK75" s="3">
        <v>9</v>
      </c>
      <c r="CL75" s="3">
        <v>9</v>
      </c>
      <c r="CM75" s="3"/>
      <c r="CN75" s="3"/>
      <c r="CO75" s="3"/>
      <c r="CP75" s="3"/>
      <c r="CT75" s="3">
        <v>9</v>
      </c>
      <c r="CU75" s="3">
        <v>9</v>
      </c>
      <c r="CV75" s="3">
        <v>7</v>
      </c>
      <c r="CW75" s="3">
        <v>8</v>
      </c>
      <c r="CX75" s="3">
        <v>7</v>
      </c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>
        <v>9</v>
      </c>
      <c r="DR75" s="3"/>
      <c r="DU75" s="3"/>
      <c r="DV75" s="3"/>
      <c r="DW75" s="3"/>
      <c r="DX75" s="3"/>
      <c r="DY75" s="3"/>
      <c r="DZ75" s="3"/>
      <c r="EA75" s="3"/>
      <c r="EB75" s="3"/>
      <c r="EC75" s="3"/>
      <c r="ED75" s="3"/>
    </row>
    <row r="76" spans="1:142" ht="15" customHeight="1" x14ac:dyDescent="0.25">
      <c r="A76" s="6" t="s">
        <v>215</v>
      </c>
      <c r="B76" s="2" t="s">
        <v>784</v>
      </c>
      <c r="C76" s="2" t="s">
        <v>1023</v>
      </c>
      <c r="D76" s="25" t="s">
        <v>786</v>
      </c>
      <c r="E76" s="4" t="s">
        <v>787</v>
      </c>
      <c r="F76" s="4" t="s">
        <v>788</v>
      </c>
      <c r="G76" s="26">
        <v>1984</v>
      </c>
      <c r="H76" s="4" t="s">
        <v>102</v>
      </c>
      <c r="I76" s="4" t="s">
        <v>1024</v>
      </c>
      <c r="J76" s="4" t="s">
        <v>972</v>
      </c>
      <c r="K76" s="4" t="s">
        <v>102</v>
      </c>
      <c r="L76" s="2" t="s">
        <v>790</v>
      </c>
      <c r="M76" s="5"/>
      <c r="N76" s="2" t="s">
        <v>1025</v>
      </c>
      <c r="O76" s="28" t="s">
        <v>2421</v>
      </c>
      <c r="P76" s="3">
        <v>6</v>
      </c>
      <c r="Q76" s="27">
        <v>2</v>
      </c>
      <c r="R76" s="3"/>
      <c r="S76" s="3">
        <v>1</v>
      </c>
      <c r="T76" s="3"/>
      <c r="U76" s="3">
        <v>1</v>
      </c>
      <c r="V76" s="3">
        <v>5</v>
      </c>
      <c r="W76" s="3"/>
      <c r="X76" s="19"/>
      <c r="Y76" s="3">
        <v>5</v>
      </c>
      <c r="Z76" s="3">
        <v>4</v>
      </c>
      <c r="AA76" s="3">
        <v>2</v>
      </c>
      <c r="AB76" s="3">
        <v>2</v>
      </c>
      <c r="AC76" s="3"/>
      <c r="AD76" s="3"/>
      <c r="AE76" s="3">
        <v>5</v>
      </c>
      <c r="AF76" s="3">
        <v>1</v>
      </c>
      <c r="AG76" s="3"/>
      <c r="AH76" s="3"/>
      <c r="AI76" s="3"/>
      <c r="AJ76" s="3"/>
      <c r="AK76" s="3"/>
      <c r="AL76" s="3"/>
      <c r="AM76" s="3">
        <v>1</v>
      </c>
      <c r="AN76" s="3">
        <v>3</v>
      </c>
      <c r="AO76" s="3">
        <v>5</v>
      </c>
      <c r="AP76" s="3"/>
      <c r="AQ76" s="3">
        <v>8</v>
      </c>
      <c r="AR76" s="3">
        <v>3</v>
      </c>
      <c r="AS76" s="3">
        <v>7</v>
      </c>
      <c r="AT76" s="3"/>
      <c r="AU76" s="3">
        <v>130</v>
      </c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>
        <v>1</v>
      </c>
      <c r="BR76" s="3">
        <v>4</v>
      </c>
      <c r="BS76" s="3">
        <v>1</v>
      </c>
      <c r="BT76" s="3"/>
      <c r="BU76" s="3">
        <v>1</v>
      </c>
      <c r="BV76" s="19">
        <v>9</v>
      </c>
      <c r="BW76" s="19">
        <v>2</v>
      </c>
      <c r="BX76" s="19">
        <v>1</v>
      </c>
      <c r="BY76" s="19">
        <v>4</v>
      </c>
      <c r="BZ76" s="19">
        <v>1</v>
      </c>
      <c r="CA76" s="19">
        <v>1</v>
      </c>
      <c r="CB76" s="19">
        <v>9</v>
      </c>
      <c r="CC76" s="19">
        <v>8</v>
      </c>
      <c r="CD76" s="3">
        <v>9</v>
      </c>
      <c r="CE76" s="19">
        <v>1</v>
      </c>
      <c r="CF76" s="3">
        <v>9</v>
      </c>
      <c r="CG76" s="19">
        <v>1</v>
      </c>
      <c r="CH76" s="3">
        <v>9</v>
      </c>
      <c r="CI76" s="3">
        <v>9</v>
      </c>
      <c r="CJ76" s="3">
        <v>9</v>
      </c>
      <c r="CK76" s="3">
        <v>9</v>
      </c>
      <c r="CL76" s="3">
        <v>9</v>
      </c>
      <c r="CM76" s="3"/>
      <c r="CN76" s="3"/>
      <c r="CO76" s="3"/>
      <c r="CP76" s="3"/>
      <c r="CT76" s="3">
        <v>1</v>
      </c>
      <c r="CU76" s="3">
        <v>3</v>
      </c>
      <c r="CV76" s="3">
        <v>8</v>
      </c>
      <c r="CW76" s="3">
        <v>9</v>
      </c>
      <c r="CX76" s="3">
        <v>3</v>
      </c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R76" s="3"/>
      <c r="DU76" s="3"/>
      <c r="EE76" s="3"/>
      <c r="EF76" s="3"/>
      <c r="EG76" s="3"/>
      <c r="EH76" s="3"/>
      <c r="EI76" s="3"/>
      <c r="EJ76" s="3"/>
      <c r="EK76" s="3"/>
      <c r="EL76" s="3"/>
    </row>
    <row r="77" spans="1:142" ht="15" customHeight="1" x14ac:dyDescent="0.25">
      <c r="A77" s="6" t="s">
        <v>216</v>
      </c>
      <c r="B77" s="2" t="s">
        <v>784</v>
      </c>
      <c r="C77" s="2" t="s">
        <v>1026</v>
      </c>
      <c r="D77" s="25" t="s">
        <v>786</v>
      </c>
      <c r="E77" s="4" t="s">
        <v>946</v>
      </c>
      <c r="F77" s="4" t="s">
        <v>1027</v>
      </c>
      <c r="G77" s="26">
        <v>1989</v>
      </c>
      <c r="H77" s="4" t="s">
        <v>106</v>
      </c>
      <c r="I77" s="5"/>
      <c r="J77" s="4" t="s">
        <v>972</v>
      </c>
      <c r="K77" s="4" t="s">
        <v>106</v>
      </c>
      <c r="M77" s="4" t="s">
        <v>1011</v>
      </c>
      <c r="N77" s="2" t="s">
        <v>1028</v>
      </c>
      <c r="O77" s="28" t="s">
        <v>2422</v>
      </c>
      <c r="P77" s="3">
        <v>7</v>
      </c>
      <c r="Q77" s="27">
        <v>1</v>
      </c>
      <c r="R77" s="3"/>
      <c r="S77" s="3">
        <v>1</v>
      </c>
      <c r="T77" s="3"/>
      <c r="U77" s="3">
        <v>9</v>
      </c>
      <c r="V77" s="3">
        <v>5</v>
      </c>
      <c r="W77" s="3"/>
      <c r="X77" s="3"/>
      <c r="Y77" s="3">
        <v>3</v>
      </c>
      <c r="Z77" s="3">
        <v>4</v>
      </c>
      <c r="AA77" s="3">
        <v>2</v>
      </c>
      <c r="AB77" s="3">
        <v>2</v>
      </c>
      <c r="AC77" s="3"/>
      <c r="AD77" s="3">
        <v>2</v>
      </c>
      <c r="AE77" s="3">
        <v>3</v>
      </c>
      <c r="AF77" s="3">
        <v>3</v>
      </c>
      <c r="AG77" s="3">
        <v>1</v>
      </c>
      <c r="AH77" s="3">
        <v>3</v>
      </c>
      <c r="AI77" s="3"/>
      <c r="AJ77" s="3"/>
      <c r="AK77" s="3"/>
      <c r="AL77" s="3"/>
      <c r="AM77" s="3">
        <v>3</v>
      </c>
      <c r="AN77" s="3">
        <v>1</v>
      </c>
      <c r="AO77" s="3">
        <v>7</v>
      </c>
      <c r="AP77" s="3">
        <v>3</v>
      </c>
      <c r="AQ77" s="3"/>
      <c r="AR77" s="3">
        <v>3</v>
      </c>
      <c r="AS77" s="3">
        <v>2</v>
      </c>
      <c r="AT77" s="3"/>
      <c r="AU77" s="3"/>
      <c r="AV77" s="3"/>
      <c r="AW77" s="3"/>
      <c r="AX77" s="3"/>
      <c r="AY77" s="3"/>
      <c r="AZ77" s="3"/>
      <c r="BA77" s="3"/>
      <c r="BB77" s="3">
        <v>9</v>
      </c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>
        <v>9</v>
      </c>
      <c r="BR77" s="3">
        <v>7</v>
      </c>
      <c r="BS77" s="3">
        <v>1</v>
      </c>
      <c r="BT77" s="3"/>
      <c r="BU77" s="3">
        <v>7</v>
      </c>
      <c r="BV77" s="19">
        <v>4</v>
      </c>
      <c r="BW77" s="19">
        <v>9</v>
      </c>
      <c r="BX77" s="19">
        <v>9</v>
      </c>
      <c r="BY77" s="3"/>
      <c r="BZ77" s="19">
        <v>4</v>
      </c>
      <c r="CA77" s="19">
        <v>8</v>
      </c>
      <c r="CB77" s="19">
        <v>7</v>
      </c>
      <c r="CC77" s="3"/>
      <c r="CD77" s="3">
        <v>9</v>
      </c>
      <c r="CE77" s="3"/>
      <c r="CF77" s="3">
        <v>8</v>
      </c>
      <c r="CG77" s="3"/>
      <c r="CH77" s="3">
        <v>7</v>
      </c>
      <c r="CI77" s="3">
        <v>1</v>
      </c>
      <c r="CJ77" s="3">
        <v>8</v>
      </c>
      <c r="CK77" s="3">
        <v>7</v>
      </c>
      <c r="CL77" s="3"/>
      <c r="CM77" s="19">
        <v>9</v>
      </c>
      <c r="CN77" s="3"/>
      <c r="CO77" s="3"/>
      <c r="CP77" s="3"/>
      <c r="CT77" s="3">
        <v>7</v>
      </c>
      <c r="CU77" s="3">
        <v>7</v>
      </c>
      <c r="CV77" s="3">
        <v>3</v>
      </c>
      <c r="CW77" s="3">
        <v>1</v>
      </c>
      <c r="CX77" s="3">
        <v>1</v>
      </c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R77" s="3"/>
      <c r="DU77" s="3"/>
      <c r="DV77" s="3"/>
      <c r="DW77" s="3"/>
    </row>
    <row r="78" spans="1:142" ht="15" customHeight="1" x14ac:dyDescent="0.25">
      <c r="A78" s="6" t="s">
        <v>217</v>
      </c>
      <c r="B78" s="2" t="s">
        <v>784</v>
      </c>
      <c r="C78" s="2" t="s">
        <v>1029</v>
      </c>
      <c r="D78" s="25" t="s">
        <v>786</v>
      </c>
      <c r="E78" s="4" t="s">
        <v>787</v>
      </c>
      <c r="F78" s="4" t="s">
        <v>793</v>
      </c>
      <c r="G78" s="26">
        <v>1755</v>
      </c>
      <c r="H78" s="4" t="s">
        <v>109</v>
      </c>
      <c r="I78" s="5"/>
      <c r="J78" s="4" t="s">
        <v>972</v>
      </c>
      <c r="K78" s="4" t="s">
        <v>109</v>
      </c>
      <c r="M78" s="5"/>
      <c r="N78" s="2" t="s">
        <v>1030</v>
      </c>
      <c r="O78" s="28" t="s">
        <v>2423</v>
      </c>
      <c r="P78" s="3">
        <v>7</v>
      </c>
      <c r="Q78" s="27">
        <v>2</v>
      </c>
      <c r="R78" s="3"/>
      <c r="S78" s="3">
        <v>2</v>
      </c>
      <c r="T78" s="3"/>
      <c r="U78" s="3">
        <v>9</v>
      </c>
      <c r="V78" s="3">
        <v>3</v>
      </c>
      <c r="W78" s="3"/>
      <c r="X78" s="3"/>
      <c r="Y78" s="3">
        <v>7</v>
      </c>
      <c r="Z78" s="3">
        <v>3</v>
      </c>
      <c r="AA78" s="3">
        <v>1</v>
      </c>
      <c r="AB78" s="3">
        <v>1</v>
      </c>
      <c r="AC78" s="3"/>
      <c r="AD78" s="3">
        <v>2</v>
      </c>
      <c r="AE78" s="3">
        <v>5</v>
      </c>
      <c r="AF78" s="3">
        <v>3</v>
      </c>
      <c r="AG78" s="3">
        <v>2</v>
      </c>
      <c r="AH78" s="3">
        <v>1</v>
      </c>
      <c r="AI78" s="3"/>
      <c r="AJ78" s="3"/>
      <c r="AK78" s="3"/>
      <c r="AL78" s="3"/>
      <c r="AM78" s="3">
        <v>1</v>
      </c>
      <c r="AN78" s="3">
        <v>5</v>
      </c>
      <c r="AO78" s="3">
        <v>7</v>
      </c>
      <c r="AP78" s="3">
        <v>1</v>
      </c>
      <c r="AQ78" s="3">
        <v>4</v>
      </c>
      <c r="AR78" s="3">
        <v>5</v>
      </c>
      <c r="AS78" s="3">
        <v>3</v>
      </c>
      <c r="AT78" s="3"/>
      <c r="AU78" s="3"/>
      <c r="AV78" s="3"/>
      <c r="AW78" s="3"/>
      <c r="AX78" s="3"/>
      <c r="AY78" s="3"/>
      <c r="AZ78" s="3"/>
      <c r="BA78" s="3">
        <v>1</v>
      </c>
      <c r="BB78" s="3">
        <v>9</v>
      </c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>
        <v>9</v>
      </c>
      <c r="BR78" s="3">
        <v>9</v>
      </c>
      <c r="BS78" s="3">
        <v>7</v>
      </c>
      <c r="BT78" s="3"/>
      <c r="BU78" s="3">
        <v>5</v>
      </c>
      <c r="BV78" s="19">
        <v>8</v>
      </c>
      <c r="BW78" s="19">
        <v>9</v>
      </c>
      <c r="BX78" s="19">
        <v>9</v>
      </c>
      <c r="BY78" s="3"/>
      <c r="BZ78" s="19">
        <v>9</v>
      </c>
      <c r="CA78" s="19">
        <v>9</v>
      </c>
      <c r="CB78" s="19">
        <v>9</v>
      </c>
      <c r="CC78" s="19">
        <v>8</v>
      </c>
      <c r="CD78" s="3">
        <v>9</v>
      </c>
      <c r="CE78" s="19">
        <v>9</v>
      </c>
      <c r="CF78" s="3">
        <v>8</v>
      </c>
      <c r="CG78" s="3"/>
      <c r="CH78" s="3">
        <v>9</v>
      </c>
      <c r="CI78" s="3">
        <v>9</v>
      </c>
      <c r="CJ78" s="3">
        <v>7</v>
      </c>
      <c r="CK78" s="3">
        <v>9</v>
      </c>
      <c r="CL78" s="3">
        <v>9</v>
      </c>
      <c r="CM78" s="19">
        <v>7</v>
      </c>
      <c r="CN78" s="3"/>
      <c r="CO78" s="3"/>
      <c r="CP78" s="3"/>
      <c r="CT78" s="3">
        <v>5</v>
      </c>
      <c r="CU78" s="3">
        <v>7</v>
      </c>
      <c r="CV78" s="3">
        <v>7</v>
      </c>
      <c r="CW78" s="3">
        <v>9</v>
      </c>
      <c r="CX78" s="3">
        <v>9</v>
      </c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R78" s="3"/>
      <c r="DX78" s="3"/>
    </row>
    <row r="79" spans="1:142" ht="15" customHeight="1" x14ac:dyDescent="0.25">
      <c r="A79" s="6" t="s">
        <v>218</v>
      </c>
      <c r="B79" s="2" t="s">
        <v>784</v>
      </c>
      <c r="C79" s="2" t="s">
        <v>1031</v>
      </c>
      <c r="D79" s="25" t="s">
        <v>786</v>
      </c>
      <c r="E79" s="4" t="s">
        <v>787</v>
      </c>
      <c r="F79" s="4" t="s">
        <v>793</v>
      </c>
      <c r="G79" s="26">
        <v>1998</v>
      </c>
      <c r="H79" s="4" t="s">
        <v>117</v>
      </c>
      <c r="I79" s="5" t="s">
        <v>1032</v>
      </c>
      <c r="J79" s="4" t="s">
        <v>972</v>
      </c>
      <c r="M79" s="5" t="s">
        <v>1033</v>
      </c>
      <c r="N79" s="2" t="s">
        <v>1034</v>
      </c>
      <c r="O79" s="28" t="s">
        <v>2424</v>
      </c>
      <c r="P79" s="3">
        <v>6</v>
      </c>
      <c r="Q79" s="27">
        <v>2</v>
      </c>
      <c r="R79" s="3"/>
      <c r="S79" s="3">
        <v>1</v>
      </c>
      <c r="T79" s="3"/>
      <c r="U79" s="3">
        <v>1</v>
      </c>
      <c r="V79" s="3">
        <v>5</v>
      </c>
      <c r="W79" s="3"/>
      <c r="X79" s="3"/>
      <c r="Y79" s="3">
        <v>6</v>
      </c>
      <c r="Z79" s="3">
        <v>7</v>
      </c>
      <c r="AA79" s="3">
        <v>2</v>
      </c>
      <c r="AB79" s="3">
        <v>2</v>
      </c>
      <c r="AC79" s="3"/>
      <c r="AD79" s="3">
        <v>2</v>
      </c>
      <c r="AE79" s="3">
        <v>5</v>
      </c>
      <c r="AF79" s="3">
        <v>1</v>
      </c>
      <c r="AG79" s="3">
        <v>0</v>
      </c>
      <c r="AH79" s="3">
        <v>0</v>
      </c>
      <c r="AI79" s="3"/>
      <c r="AJ79" s="3"/>
      <c r="AK79" s="3"/>
      <c r="AL79" s="3"/>
      <c r="AM79" s="3">
        <v>1</v>
      </c>
      <c r="AN79" s="3">
        <v>4</v>
      </c>
      <c r="AO79" s="3">
        <v>5</v>
      </c>
      <c r="AP79" s="3">
        <v>3</v>
      </c>
      <c r="AQ79" s="3">
        <v>7</v>
      </c>
      <c r="AR79" s="3">
        <v>4</v>
      </c>
      <c r="AS79" s="3">
        <v>6</v>
      </c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R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</row>
    <row r="80" spans="1:142" ht="15" customHeight="1" x14ac:dyDescent="0.25">
      <c r="A80" s="6" t="s">
        <v>219</v>
      </c>
      <c r="B80" s="2" t="s">
        <v>784</v>
      </c>
      <c r="C80" s="2" t="s">
        <v>1035</v>
      </c>
      <c r="D80" s="25" t="s">
        <v>786</v>
      </c>
      <c r="E80" s="4" t="s">
        <v>787</v>
      </c>
      <c r="F80" s="4" t="s">
        <v>793</v>
      </c>
      <c r="G80" s="26">
        <v>2006</v>
      </c>
      <c r="H80" s="4" t="s">
        <v>122</v>
      </c>
      <c r="I80" s="5" t="s">
        <v>1036</v>
      </c>
      <c r="J80" s="4" t="s">
        <v>972</v>
      </c>
      <c r="K80" s="4" t="s">
        <v>1037</v>
      </c>
      <c r="L80" s="2" t="s">
        <v>790</v>
      </c>
      <c r="M80" s="5"/>
      <c r="N80" s="2" t="s">
        <v>1038</v>
      </c>
      <c r="O80" s="28" t="s">
        <v>2425</v>
      </c>
      <c r="P80" s="3">
        <v>6</v>
      </c>
      <c r="Q80" s="27">
        <v>2</v>
      </c>
      <c r="R80" s="3"/>
      <c r="S80" s="3">
        <v>1</v>
      </c>
      <c r="T80" s="3"/>
      <c r="U80" s="3">
        <v>1</v>
      </c>
      <c r="V80" s="3">
        <v>6</v>
      </c>
      <c r="W80" s="3"/>
      <c r="X80" s="19"/>
      <c r="Y80" s="3">
        <v>6</v>
      </c>
      <c r="Z80" s="3">
        <v>7</v>
      </c>
      <c r="AA80" s="3">
        <v>2</v>
      </c>
      <c r="AB80" s="3">
        <v>2</v>
      </c>
      <c r="AC80" s="3"/>
      <c r="AD80" s="3">
        <v>1</v>
      </c>
      <c r="AE80" s="3">
        <v>5</v>
      </c>
      <c r="AF80" s="3">
        <v>1</v>
      </c>
      <c r="AG80" s="3">
        <v>0</v>
      </c>
      <c r="AH80" s="3">
        <v>0</v>
      </c>
      <c r="AI80" s="3"/>
      <c r="AJ80" s="3"/>
      <c r="AK80" s="3"/>
      <c r="AL80" s="3"/>
      <c r="AM80" s="3">
        <v>1</v>
      </c>
      <c r="AN80" s="3">
        <v>2</v>
      </c>
      <c r="AO80" s="3">
        <v>4</v>
      </c>
      <c r="AP80" s="3">
        <v>0</v>
      </c>
      <c r="AQ80" s="3">
        <v>1</v>
      </c>
      <c r="AR80" s="3">
        <v>3</v>
      </c>
      <c r="AS80" s="3">
        <v>1</v>
      </c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R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</row>
    <row r="81" spans="1:142" ht="15" customHeight="1" x14ac:dyDescent="0.25">
      <c r="A81" s="6" t="s">
        <v>220</v>
      </c>
      <c r="B81" s="2" t="s">
        <v>784</v>
      </c>
      <c r="C81" s="2" t="s">
        <v>1039</v>
      </c>
      <c r="D81" s="25" t="s">
        <v>786</v>
      </c>
      <c r="E81" s="4" t="s">
        <v>787</v>
      </c>
      <c r="F81" s="1" t="s">
        <v>788</v>
      </c>
      <c r="G81" s="2">
        <v>2010</v>
      </c>
      <c r="H81" s="1" t="s">
        <v>135</v>
      </c>
      <c r="I81" s="1" t="s">
        <v>1040</v>
      </c>
      <c r="J81" s="4" t="s">
        <v>972</v>
      </c>
      <c r="K81" s="1" t="s">
        <v>1037</v>
      </c>
      <c r="L81" s="2" t="s">
        <v>802</v>
      </c>
      <c r="N81" s="2" t="s">
        <v>1041</v>
      </c>
      <c r="O81" s="28" t="s">
        <v>2426</v>
      </c>
      <c r="P81" s="3"/>
      <c r="Q81" s="27"/>
      <c r="R81" s="3"/>
      <c r="S81" s="3"/>
      <c r="T81" s="3"/>
      <c r="U81" s="3"/>
      <c r="V81" s="3"/>
      <c r="W81" s="3"/>
      <c r="X81" s="19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R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</row>
    <row r="82" spans="1:142" ht="15" customHeight="1" x14ac:dyDescent="0.25">
      <c r="A82" s="6" t="s">
        <v>221</v>
      </c>
      <c r="B82" s="2" t="s">
        <v>784</v>
      </c>
      <c r="C82" s="2" t="s">
        <v>1042</v>
      </c>
      <c r="D82" s="25" t="s">
        <v>786</v>
      </c>
      <c r="E82" s="4" t="s">
        <v>787</v>
      </c>
      <c r="F82" s="1" t="s">
        <v>788</v>
      </c>
      <c r="G82" s="2">
        <v>2011</v>
      </c>
      <c r="H82" s="1" t="s">
        <v>136</v>
      </c>
      <c r="I82" s="1" t="s">
        <v>1043</v>
      </c>
      <c r="J82" s="4" t="s">
        <v>972</v>
      </c>
      <c r="K82" s="1" t="s">
        <v>1044</v>
      </c>
      <c r="L82" s="2" t="s">
        <v>802</v>
      </c>
      <c r="N82" s="2" t="s">
        <v>1045</v>
      </c>
      <c r="O82" s="28" t="s">
        <v>2427</v>
      </c>
      <c r="P82" s="3"/>
      <c r="Q82" s="27"/>
      <c r="R82" s="3"/>
      <c r="S82" s="3"/>
      <c r="T82" s="3"/>
      <c r="U82" s="3"/>
      <c r="V82" s="3"/>
      <c r="W82" s="3"/>
      <c r="X82" s="19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R82" s="3"/>
      <c r="DU82" s="3"/>
      <c r="DV82" s="3"/>
      <c r="DW82" s="3"/>
      <c r="DX82" s="3"/>
      <c r="DY82" s="3"/>
      <c r="DZ82" s="3"/>
      <c r="EA82" s="3"/>
      <c r="EB82" s="3"/>
      <c r="EC82" s="3"/>
      <c r="ED82" s="3"/>
    </row>
    <row r="83" spans="1:142" s="3" customFormat="1" ht="15" customHeight="1" x14ac:dyDescent="0.25">
      <c r="A83" s="6" t="s">
        <v>222</v>
      </c>
      <c r="B83" s="2" t="s">
        <v>1046</v>
      </c>
      <c r="C83" s="5" t="s">
        <v>134</v>
      </c>
      <c r="D83" s="25" t="s">
        <v>786</v>
      </c>
      <c r="E83" s="4" t="s">
        <v>858</v>
      </c>
      <c r="F83" s="4"/>
      <c r="G83" s="30"/>
      <c r="H83" s="5" t="s">
        <v>134</v>
      </c>
      <c r="I83" s="5"/>
      <c r="J83" s="5" t="s">
        <v>972</v>
      </c>
      <c r="K83" s="1"/>
      <c r="L83" s="2"/>
      <c r="M83" s="5" t="s">
        <v>1865</v>
      </c>
      <c r="N83" s="2"/>
      <c r="O83" s="28"/>
      <c r="Q83" s="27"/>
      <c r="DS83" s="1"/>
      <c r="DT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</row>
    <row r="84" spans="1:142" ht="15" customHeight="1" x14ac:dyDescent="0.25">
      <c r="A84" s="6" t="s">
        <v>223</v>
      </c>
      <c r="B84" s="2" t="s">
        <v>784</v>
      </c>
      <c r="C84" s="2" t="s">
        <v>1047</v>
      </c>
      <c r="D84" s="25" t="s">
        <v>786</v>
      </c>
      <c r="E84" s="4" t="s">
        <v>787</v>
      </c>
      <c r="F84" s="4" t="s">
        <v>788</v>
      </c>
      <c r="G84" s="29"/>
      <c r="H84" s="4" t="s">
        <v>59</v>
      </c>
      <c r="I84" s="5"/>
      <c r="J84" s="4" t="s">
        <v>1048</v>
      </c>
      <c r="K84" s="4" t="s">
        <v>59</v>
      </c>
      <c r="M84" s="5"/>
      <c r="N84" s="2" t="s">
        <v>1049</v>
      </c>
      <c r="O84" s="28" t="s">
        <v>2428</v>
      </c>
      <c r="P84" s="3">
        <v>7</v>
      </c>
      <c r="Q84" s="27">
        <v>2</v>
      </c>
      <c r="R84" s="3"/>
      <c r="S84" s="3">
        <v>2</v>
      </c>
      <c r="T84" s="3">
        <v>3</v>
      </c>
      <c r="U84" s="3">
        <v>9</v>
      </c>
      <c r="V84" s="3">
        <v>4</v>
      </c>
      <c r="W84" s="3"/>
      <c r="X84" s="19">
        <v>5</v>
      </c>
      <c r="Y84" s="3">
        <v>5</v>
      </c>
      <c r="Z84" s="3">
        <v>2</v>
      </c>
      <c r="AA84" s="3">
        <v>1</v>
      </c>
      <c r="AB84" s="3">
        <v>1</v>
      </c>
      <c r="AC84" s="3"/>
      <c r="AD84" s="3">
        <v>2</v>
      </c>
      <c r="AE84" s="3">
        <v>7</v>
      </c>
      <c r="AF84" s="3">
        <v>3</v>
      </c>
      <c r="AG84" s="3">
        <v>1</v>
      </c>
      <c r="AH84" s="3"/>
      <c r="AI84" s="3"/>
      <c r="AJ84" s="3"/>
      <c r="AK84" s="3"/>
      <c r="AL84" s="3"/>
      <c r="AM84" s="3">
        <v>2</v>
      </c>
      <c r="AN84" s="3">
        <v>2</v>
      </c>
      <c r="AO84" s="3">
        <v>3</v>
      </c>
      <c r="AP84" s="3"/>
      <c r="AQ84" s="3">
        <v>4</v>
      </c>
      <c r="AR84" s="3">
        <v>2</v>
      </c>
      <c r="AS84" s="3">
        <v>5</v>
      </c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>
        <v>782</v>
      </c>
      <c r="BJ84" s="3">
        <v>845</v>
      </c>
      <c r="BK84" s="3"/>
      <c r="BL84" s="3"/>
      <c r="BM84" s="3"/>
      <c r="BN84" s="3">
        <v>4</v>
      </c>
      <c r="BO84" s="3"/>
      <c r="BP84" s="3"/>
      <c r="BQ84" s="3">
        <v>9</v>
      </c>
      <c r="BR84" s="3">
        <v>9</v>
      </c>
      <c r="BS84" s="3">
        <v>9</v>
      </c>
      <c r="BT84" s="19">
        <v>9</v>
      </c>
      <c r="BU84" s="3">
        <v>9</v>
      </c>
      <c r="BV84" s="19">
        <v>9</v>
      </c>
      <c r="BW84" s="19">
        <v>8</v>
      </c>
      <c r="BX84" s="19">
        <v>9</v>
      </c>
      <c r="BY84" s="19">
        <v>9</v>
      </c>
      <c r="BZ84" s="19">
        <v>9</v>
      </c>
      <c r="CA84" s="19">
        <v>9</v>
      </c>
      <c r="CB84" s="19">
        <v>9</v>
      </c>
      <c r="CC84" s="19">
        <v>9</v>
      </c>
      <c r="CD84" s="3">
        <v>9</v>
      </c>
      <c r="CE84" s="19">
        <v>9</v>
      </c>
      <c r="CF84" s="3">
        <v>9</v>
      </c>
      <c r="CG84" s="19">
        <v>9</v>
      </c>
      <c r="CH84" s="3">
        <v>9</v>
      </c>
      <c r="CI84" s="3">
        <v>9</v>
      </c>
      <c r="CJ84" s="3">
        <v>9</v>
      </c>
      <c r="CK84" s="3">
        <v>9</v>
      </c>
      <c r="CL84" s="3">
        <v>9</v>
      </c>
      <c r="CM84" s="19">
        <v>7</v>
      </c>
      <c r="CN84" s="3"/>
      <c r="CO84" s="3"/>
      <c r="CP84" s="3"/>
      <c r="CT84" s="3">
        <v>9</v>
      </c>
      <c r="CU84" s="3">
        <v>9</v>
      </c>
      <c r="CV84" s="3">
        <v>9</v>
      </c>
      <c r="CW84" s="3">
        <v>9</v>
      </c>
      <c r="CX84" s="3">
        <v>7</v>
      </c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R84" s="3"/>
    </row>
    <row r="85" spans="1:142" ht="15" customHeight="1" x14ac:dyDescent="0.25">
      <c r="A85" s="6" t="s">
        <v>224</v>
      </c>
      <c r="B85" s="2" t="s">
        <v>784</v>
      </c>
      <c r="C85" s="2" t="s">
        <v>1050</v>
      </c>
      <c r="D85" s="25" t="s">
        <v>786</v>
      </c>
      <c r="E85" s="4" t="s">
        <v>787</v>
      </c>
      <c r="F85" s="4" t="s">
        <v>793</v>
      </c>
      <c r="G85" s="26">
        <v>1865</v>
      </c>
      <c r="H85" s="4" t="s">
        <v>66</v>
      </c>
      <c r="I85" s="5"/>
      <c r="J85" s="4" t="s">
        <v>1048</v>
      </c>
      <c r="K85" s="4" t="s">
        <v>66</v>
      </c>
      <c r="M85" s="5"/>
      <c r="N85" s="2" t="s">
        <v>1051</v>
      </c>
      <c r="O85" s="28" t="s">
        <v>2429</v>
      </c>
      <c r="P85" s="3">
        <v>5</v>
      </c>
      <c r="Q85" s="27">
        <v>2</v>
      </c>
      <c r="R85" s="3"/>
      <c r="S85" s="3"/>
      <c r="T85" s="3">
        <v>3</v>
      </c>
      <c r="U85" s="3">
        <v>1</v>
      </c>
      <c r="V85" s="3"/>
      <c r="W85" s="3"/>
      <c r="X85" s="19">
        <v>6</v>
      </c>
      <c r="Y85" s="3">
        <v>5</v>
      </c>
      <c r="Z85" s="3">
        <v>2</v>
      </c>
      <c r="AA85" s="3">
        <v>1</v>
      </c>
      <c r="AB85" s="3">
        <v>1</v>
      </c>
      <c r="AC85" s="3"/>
      <c r="AD85" s="3">
        <v>2</v>
      </c>
      <c r="AE85" s="3">
        <v>7</v>
      </c>
      <c r="AF85" s="3">
        <v>1</v>
      </c>
      <c r="AG85" s="3"/>
      <c r="AH85" s="3"/>
      <c r="AI85" s="3"/>
      <c r="AJ85" s="3"/>
      <c r="AK85" s="3"/>
      <c r="AL85" s="3"/>
      <c r="AM85" s="3">
        <v>2</v>
      </c>
      <c r="AN85" s="3">
        <v>2</v>
      </c>
      <c r="AO85" s="3">
        <v>4</v>
      </c>
      <c r="AP85" s="3"/>
      <c r="AQ85" s="3">
        <v>3</v>
      </c>
      <c r="AR85" s="3">
        <v>4</v>
      </c>
      <c r="AS85" s="3">
        <v>3</v>
      </c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>
        <v>8</v>
      </c>
      <c r="BR85" s="3">
        <v>7</v>
      </c>
      <c r="BS85" s="3">
        <v>9</v>
      </c>
      <c r="BT85" s="19">
        <v>9</v>
      </c>
      <c r="BU85" s="3">
        <v>9</v>
      </c>
      <c r="BV85" s="19">
        <v>7</v>
      </c>
      <c r="BW85" s="19">
        <v>9</v>
      </c>
      <c r="BX85" s="19">
        <v>9</v>
      </c>
      <c r="BY85" s="3"/>
      <c r="BZ85" s="19">
        <v>8</v>
      </c>
      <c r="CA85" s="19">
        <v>9</v>
      </c>
      <c r="CB85" s="19">
        <v>9</v>
      </c>
      <c r="CC85" s="19">
        <v>9</v>
      </c>
      <c r="CD85" s="3">
        <v>9</v>
      </c>
      <c r="CE85" s="19">
        <v>9</v>
      </c>
      <c r="CF85" s="3">
        <v>9</v>
      </c>
      <c r="CG85" s="3"/>
      <c r="CH85" s="3">
        <v>9</v>
      </c>
      <c r="CI85" s="3">
        <v>9</v>
      </c>
      <c r="CJ85" s="3">
        <v>7</v>
      </c>
      <c r="CK85" s="3">
        <v>7</v>
      </c>
      <c r="CL85" s="3">
        <v>9</v>
      </c>
      <c r="CM85" s="19">
        <v>9</v>
      </c>
      <c r="CN85" s="3"/>
      <c r="CO85" s="3"/>
      <c r="CP85" s="3"/>
      <c r="CT85" s="3">
        <v>9</v>
      </c>
      <c r="CU85" s="3">
        <v>9</v>
      </c>
      <c r="CV85" s="3">
        <v>9</v>
      </c>
      <c r="CW85" s="3">
        <v>9</v>
      </c>
      <c r="CX85" s="3">
        <v>9</v>
      </c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R85" s="3"/>
    </row>
    <row r="86" spans="1:142" ht="15" customHeight="1" x14ac:dyDescent="0.25">
      <c r="A86" s="6" t="s">
        <v>225</v>
      </c>
      <c r="B86" s="2" t="s">
        <v>784</v>
      </c>
      <c r="C86" s="2" t="s">
        <v>1052</v>
      </c>
      <c r="D86" s="25" t="s">
        <v>786</v>
      </c>
      <c r="E86" s="4" t="s">
        <v>858</v>
      </c>
      <c r="F86" s="5"/>
      <c r="G86" s="29"/>
      <c r="H86" s="4" t="s">
        <v>77</v>
      </c>
      <c r="I86" s="5"/>
      <c r="J86" s="4" t="s">
        <v>1048</v>
      </c>
      <c r="K86" s="4" t="s">
        <v>1053</v>
      </c>
      <c r="M86" s="4" t="s">
        <v>1054</v>
      </c>
      <c r="N86" s="2" t="s">
        <v>1055</v>
      </c>
      <c r="O86" s="28" t="s">
        <v>2430</v>
      </c>
      <c r="P86" s="3">
        <v>5</v>
      </c>
      <c r="Q86" s="27">
        <v>1</v>
      </c>
      <c r="R86" s="3"/>
      <c r="S86" s="3"/>
      <c r="T86" s="3"/>
      <c r="U86" s="3">
        <v>1</v>
      </c>
      <c r="V86" s="3">
        <v>3</v>
      </c>
      <c r="W86" s="3"/>
      <c r="X86" s="3"/>
      <c r="Y86" s="3">
        <v>4</v>
      </c>
      <c r="Z86" s="3">
        <v>3</v>
      </c>
      <c r="AA86" s="3">
        <v>1</v>
      </c>
      <c r="AB86" s="3">
        <v>2</v>
      </c>
      <c r="AC86" s="3"/>
      <c r="AD86" s="3">
        <v>2</v>
      </c>
      <c r="AE86" s="3">
        <v>6</v>
      </c>
      <c r="AF86" s="3">
        <v>1</v>
      </c>
      <c r="AG86" s="3"/>
      <c r="AH86" s="3"/>
      <c r="AI86" s="3"/>
      <c r="AJ86" s="3"/>
      <c r="AK86" s="3"/>
      <c r="AL86" s="3"/>
      <c r="AM86" s="3">
        <v>1</v>
      </c>
      <c r="AN86" s="3">
        <v>3</v>
      </c>
      <c r="AO86" s="3">
        <v>6</v>
      </c>
      <c r="AP86" s="3"/>
      <c r="AQ86" s="3">
        <v>6</v>
      </c>
      <c r="AR86" s="3"/>
      <c r="AS86" s="3">
        <v>5</v>
      </c>
      <c r="AT86" s="3"/>
      <c r="AU86" s="3"/>
      <c r="AV86" s="3"/>
      <c r="AW86" s="3"/>
      <c r="AX86" s="3"/>
      <c r="AY86" s="3"/>
      <c r="AZ86" s="3"/>
      <c r="BA86" s="3"/>
      <c r="BB86" s="3">
        <v>1</v>
      </c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>
        <v>9</v>
      </c>
      <c r="BR86" s="3">
        <v>9</v>
      </c>
      <c r="BS86" s="3">
        <v>7</v>
      </c>
      <c r="BT86" s="19">
        <v>7</v>
      </c>
      <c r="BU86" s="3">
        <v>7</v>
      </c>
      <c r="BV86" s="19">
        <v>9</v>
      </c>
      <c r="BW86" s="19">
        <v>9</v>
      </c>
      <c r="BX86" s="19">
        <v>8</v>
      </c>
      <c r="BY86" s="3"/>
      <c r="BZ86" s="19">
        <v>9</v>
      </c>
      <c r="CA86" s="19">
        <v>9</v>
      </c>
      <c r="CB86" s="19">
        <v>7</v>
      </c>
      <c r="CC86" s="19">
        <v>8</v>
      </c>
      <c r="CD86" s="3">
        <v>9</v>
      </c>
      <c r="CE86" s="19">
        <v>7</v>
      </c>
      <c r="CF86" s="3">
        <v>9</v>
      </c>
      <c r="CG86" s="3"/>
      <c r="CH86" s="3">
        <v>9</v>
      </c>
      <c r="CI86" s="3">
        <v>9</v>
      </c>
      <c r="CJ86" s="3">
        <v>7</v>
      </c>
      <c r="CK86" s="3">
        <v>9</v>
      </c>
      <c r="CL86" s="3">
        <v>9</v>
      </c>
      <c r="CM86" s="19">
        <v>9</v>
      </c>
      <c r="CN86" s="3"/>
      <c r="CO86" s="3"/>
      <c r="CP86" s="3"/>
      <c r="CT86" s="3">
        <v>8</v>
      </c>
      <c r="CU86" s="3">
        <v>7</v>
      </c>
      <c r="CV86" s="3">
        <v>5</v>
      </c>
      <c r="CW86" s="3">
        <v>9</v>
      </c>
      <c r="CX86" s="3">
        <v>9</v>
      </c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R86" s="3"/>
    </row>
    <row r="87" spans="1:142" ht="15" customHeight="1" x14ac:dyDescent="0.25">
      <c r="A87" s="6" t="s">
        <v>226</v>
      </c>
      <c r="B87" s="2" t="s">
        <v>784</v>
      </c>
      <c r="C87" s="2" t="s">
        <v>1056</v>
      </c>
      <c r="D87" s="25" t="s">
        <v>786</v>
      </c>
      <c r="E87" s="4" t="s">
        <v>946</v>
      </c>
      <c r="F87" s="4" t="s">
        <v>1057</v>
      </c>
      <c r="G87" s="26">
        <v>1949</v>
      </c>
      <c r="H87" s="4" t="s">
        <v>93</v>
      </c>
      <c r="I87" s="5"/>
      <c r="J87" s="4" t="s">
        <v>1048</v>
      </c>
      <c r="K87" s="4" t="s">
        <v>1058</v>
      </c>
      <c r="M87" s="5"/>
      <c r="N87" s="2" t="s">
        <v>1059</v>
      </c>
      <c r="O87" s="28" t="s">
        <v>2431</v>
      </c>
      <c r="P87" s="3">
        <v>7</v>
      </c>
      <c r="Q87" s="27">
        <v>1</v>
      </c>
      <c r="R87" s="3"/>
      <c r="S87" s="3"/>
      <c r="T87" s="3"/>
      <c r="U87" s="3">
        <v>1</v>
      </c>
      <c r="V87" s="3"/>
      <c r="W87" s="3"/>
      <c r="X87" s="3"/>
      <c r="Y87" s="3">
        <v>7</v>
      </c>
      <c r="Z87" s="3">
        <v>3</v>
      </c>
      <c r="AA87" s="3">
        <v>1</v>
      </c>
      <c r="AB87" s="3">
        <v>1</v>
      </c>
      <c r="AC87" s="3"/>
      <c r="AD87" s="3">
        <v>2</v>
      </c>
      <c r="AE87" s="3">
        <v>5</v>
      </c>
      <c r="AF87" s="3">
        <v>1</v>
      </c>
      <c r="AG87" s="3"/>
      <c r="AH87" s="3"/>
      <c r="AI87" s="3"/>
      <c r="AJ87" s="3"/>
      <c r="AK87" s="3"/>
      <c r="AL87" s="3"/>
      <c r="AM87" s="3">
        <v>6</v>
      </c>
      <c r="AN87" s="3">
        <v>5</v>
      </c>
      <c r="AO87" s="3">
        <v>6</v>
      </c>
      <c r="AP87" s="3"/>
      <c r="AQ87" s="3">
        <v>1</v>
      </c>
      <c r="AR87" s="3">
        <v>4</v>
      </c>
      <c r="AS87" s="3">
        <v>2</v>
      </c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>
        <v>9</v>
      </c>
      <c r="BH87" s="3"/>
      <c r="BI87" s="3"/>
      <c r="BJ87" s="3"/>
      <c r="BK87" s="3">
        <v>3</v>
      </c>
      <c r="BL87" s="3"/>
      <c r="BM87" s="3"/>
      <c r="BN87" s="3"/>
      <c r="BO87" s="3"/>
      <c r="BP87" s="3"/>
      <c r="BQ87" s="3">
        <v>7</v>
      </c>
      <c r="BR87" s="3">
        <v>7</v>
      </c>
      <c r="BS87" s="3">
        <v>9</v>
      </c>
      <c r="BT87" s="19">
        <v>9</v>
      </c>
      <c r="BU87" s="3">
        <v>8</v>
      </c>
      <c r="BV87" s="19">
        <v>9</v>
      </c>
      <c r="BW87" s="19">
        <v>9</v>
      </c>
      <c r="BX87" s="19">
        <v>9</v>
      </c>
      <c r="BY87" s="19">
        <v>9</v>
      </c>
      <c r="BZ87" s="19">
        <v>9</v>
      </c>
      <c r="CA87" s="19">
        <v>9</v>
      </c>
      <c r="CB87" s="19">
        <v>7</v>
      </c>
      <c r="CC87" s="19">
        <v>8</v>
      </c>
      <c r="CD87" s="3">
        <v>9</v>
      </c>
      <c r="CE87" s="19">
        <v>9</v>
      </c>
      <c r="CF87" s="3">
        <v>7</v>
      </c>
      <c r="CG87" s="19">
        <v>9</v>
      </c>
      <c r="CH87" s="3">
        <v>9</v>
      </c>
      <c r="CI87" s="3">
        <v>9</v>
      </c>
      <c r="CJ87" s="3">
        <v>9</v>
      </c>
      <c r="CK87" s="3">
        <v>9</v>
      </c>
      <c r="CL87" s="3">
        <v>7</v>
      </c>
      <c r="CM87" s="19">
        <v>9</v>
      </c>
      <c r="CN87" s="3"/>
      <c r="CO87" s="3"/>
      <c r="CP87" s="3"/>
      <c r="CT87" s="3">
        <v>9</v>
      </c>
      <c r="CU87" s="3">
        <v>9</v>
      </c>
      <c r="CV87" s="3">
        <v>6</v>
      </c>
      <c r="CW87" s="3">
        <v>9</v>
      </c>
      <c r="CX87" s="3">
        <v>9</v>
      </c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R87" s="3"/>
    </row>
    <row r="88" spans="1:142" ht="15" customHeight="1" x14ac:dyDescent="0.25">
      <c r="A88" s="6" t="s">
        <v>227</v>
      </c>
      <c r="B88" s="2" t="s">
        <v>784</v>
      </c>
      <c r="C88" s="2" t="s">
        <v>1060</v>
      </c>
      <c r="D88" s="25" t="s">
        <v>786</v>
      </c>
      <c r="E88" s="4" t="s">
        <v>787</v>
      </c>
      <c r="F88" s="4" t="s">
        <v>788</v>
      </c>
      <c r="G88" s="26">
        <v>2001</v>
      </c>
      <c r="H88" s="4" t="s">
        <v>116</v>
      </c>
      <c r="I88" s="4" t="s">
        <v>1061</v>
      </c>
      <c r="J88" s="4" t="s">
        <v>1048</v>
      </c>
      <c r="K88" s="4" t="s">
        <v>1062</v>
      </c>
      <c r="L88" s="2" t="s">
        <v>802</v>
      </c>
      <c r="M88" s="5"/>
      <c r="N88" s="2" t="s">
        <v>1063</v>
      </c>
      <c r="O88" s="28" t="s">
        <v>2432</v>
      </c>
      <c r="P88" s="3">
        <v>7</v>
      </c>
      <c r="Q88" s="27">
        <v>2</v>
      </c>
      <c r="R88" s="3"/>
      <c r="S88" s="3">
        <v>2</v>
      </c>
      <c r="T88" s="3"/>
      <c r="U88" s="3">
        <v>1</v>
      </c>
      <c r="V88" s="3">
        <v>4</v>
      </c>
      <c r="W88" s="3"/>
      <c r="X88" s="19"/>
      <c r="Y88" s="3">
        <v>5</v>
      </c>
      <c r="Z88" s="3">
        <v>4</v>
      </c>
      <c r="AA88" s="3">
        <v>1</v>
      </c>
      <c r="AB88" s="3">
        <v>1</v>
      </c>
      <c r="AC88" s="3"/>
      <c r="AD88" s="3">
        <v>2</v>
      </c>
      <c r="AE88" s="3">
        <v>8</v>
      </c>
      <c r="AF88" s="3">
        <v>1</v>
      </c>
      <c r="AG88" s="3">
        <v>0</v>
      </c>
      <c r="AH88" s="3">
        <v>0</v>
      </c>
      <c r="AI88" s="3"/>
      <c r="AJ88" s="3"/>
      <c r="AK88" s="3"/>
      <c r="AL88" s="3"/>
      <c r="AM88" s="3">
        <v>2</v>
      </c>
      <c r="AN88" s="3">
        <v>1</v>
      </c>
      <c r="AO88" s="3">
        <v>4</v>
      </c>
      <c r="AP88" s="3">
        <v>2</v>
      </c>
      <c r="AQ88" s="3">
        <v>5</v>
      </c>
      <c r="AR88" s="3">
        <v>3</v>
      </c>
      <c r="AS88" s="3">
        <v>8</v>
      </c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R88" s="3"/>
      <c r="DU88" s="3"/>
    </row>
    <row r="89" spans="1:142" ht="15" customHeight="1" x14ac:dyDescent="0.25">
      <c r="A89" s="6" t="s">
        <v>228</v>
      </c>
      <c r="B89" s="2" t="s">
        <v>784</v>
      </c>
      <c r="C89" s="2" t="s">
        <v>1064</v>
      </c>
      <c r="D89" s="25" t="s">
        <v>786</v>
      </c>
      <c r="E89" s="4" t="s">
        <v>787</v>
      </c>
      <c r="F89" s="4" t="s">
        <v>822</v>
      </c>
      <c r="G89" s="29"/>
      <c r="H89" s="4" t="s">
        <v>8</v>
      </c>
      <c r="I89" s="5"/>
      <c r="J89" s="4" t="s">
        <v>1065</v>
      </c>
      <c r="K89" s="4" t="s">
        <v>8</v>
      </c>
      <c r="M89" s="5"/>
      <c r="N89" s="2" t="s">
        <v>1066</v>
      </c>
      <c r="O89" s="28" t="s">
        <v>2433</v>
      </c>
      <c r="P89" s="3">
        <v>7</v>
      </c>
      <c r="Q89" s="27">
        <v>1</v>
      </c>
      <c r="R89" s="3"/>
      <c r="S89" s="3"/>
      <c r="T89" s="3"/>
      <c r="U89" s="3">
        <v>1</v>
      </c>
      <c r="V89" s="3"/>
      <c r="W89" s="3"/>
      <c r="X89" s="3"/>
      <c r="Y89" s="3">
        <v>7</v>
      </c>
      <c r="Z89" s="3">
        <v>3</v>
      </c>
      <c r="AA89" s="3">
        <v>1</v>
      </c>
      <c r="AB89" s="3">
        <v>1</v>
      </c>
      <c r="AC89" s="3"/>
      <c r="AD89" s="3">
        <v>5</v>
      </c>
      <c r="AE89" s="3"/>
      <c r="AF89" s="3">
        <v>1</v>
      </c>
      <c r="AG89" s="3"/>
      <c r="AH89" s="3"/>
      <c r="AI89" s="3"/>
      <c r="AJ89" s="3"/>
      <c r="AK89" s="3"/>
      <c r="AL89" s="3"/>
      <c r="AM89" s="3">
        <v>5</v>
      </c>
      <c r="AN89" s="3"/>
      <c r="AO89" s="3">
        <v>7</v>
      </c>
      <c r="AP89" s="3"/>
      <c r="AQ89" s="3">
        <v>1</v>
      </c>
      <c r="AR89" s="3">
        <v>5</v>
      </c>
      <c r="AS89" s="3">
        <v>1</v>
      </c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>
        <v>9</v>
      </c>
      <c r="BR89" s="3"/>
      <c r="BS89" s="3">
        <v>9</v>
      </c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R89" s="3"/>
      <c r="DU89" s="3"/>
    </row>
    <row r="90" spans="1:142" ht="15" customHeight="1" x14ac:dyDescent="0.25">
      <c r="A90" s="6" t="s">
        <v>229</v>
      </c>
      <c r="B90" s="2" t="s">
        <v>784</v>
      </c>
      <c r="C90" s="2" t="s">
        <v>1067</v>
      </c>
      <c r="D90" s="25" t="s">
        <v>786</v>
      </c>
      <c r="E90" s="4" t="s">
        <v>946</v>
      </c>
      <c r="F90" s="4" t="s">
        <v>1068</v>
      </c>
      <c r="G90" s="26">
        <v>1948</v>
      </c>
      <c r="H90" s="4" t="s">
        <v>18</v>
      </c>
      <c r="I90" s="5"/>
      <c r="J90" s="4" t="s">
        <v>1065</v>
      </c>
      <c r="K90" s="4" t="s">
        <v>8</v>
      </c>
      <c r="M90" s="5"/>
      <c r="N90" s="2" t="s">
        <v>1069</v>
      </c>
      <c r="O90" s="28" t="s">
        <v>2434</v>
      </c>
      <c r="P90" s="3">
        <v>3</v>
      </c>
      <c r="Q90" s="27">
        <v>1</v>
      </c>
      <c r="R90" s="19">
        <v>6</v>
      </c>
      <c r="S90" s="3">
        <v>1</v>
      </c>
      <c r="T90" s="3">
        <v>3</v>
      </c>
      <c r="U90" s="3"/>
      <c r="V90" s="3"/>
      <c r="W90" s="3"/>
      <c r="X90" s="3"/>
      <c r="Y90" s="3">
        <v>6</v>
      </c>
      <c r="Z90" s="3">
        <v>3</v>
      </c>
      <c r="AA90" s="3">
        <v>1</v>
      </c>
      <c r="AB90" s="3">
        <v>1</v>
      </c>
      <c r="AC90" s="3"/>
      <c r="AD90" s="3">
        <v>2</v>
      </c>
      <c r="AE90" s="3"/>
      <c r="AF90" s="3">
        <v>2</v>
      </c>
      <c r="AG90" s="3">
        <v>1</v>
      </c>
      <c r="AH90" s="3">
        <v>1</v>
      </c>
      <c r="AI90" s="3"/>
      <c r="AJ90" s="3"/>
      <c r="AK90" s="3"/>
      <c r="AL90" s="3"/>
      <c r="AM90" s="3">
        <v>5</v>
      </c>
      <c r="AN90" s="3"/>
      <c r="AO90" s="3">
        <v>6</v>
      </c>
      <c r="AP90" s="3">
        <v>1</v>
      </c>
      <c r="AQ90" s="3"/>
      <c r="AR90" s="3">
        <v>5</v>
      </c>
      <c r="AS90" s="3"/>
      <c r="AT90" s="3"/>
      <c r="AU90" s="3"/>
      <c r="AV90" s="3"/>
      <c r="AW90" s="3"/>
      <c r="AX90" s="3"/>
      <c r="AY90" s="3"/>
      <c r="AZ90" s="3"/>
      <c r="BA90" s="3"/>
      <c r="BB90" s="3">
        <v>9</v>
      </c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>
        <v>8</v>
      </c>
      <c r="BR90" s="3">
        <v>9</v>
      </c>
      <c r="BS90" s="3">
        <v>7</v>
      </c>
      <c r="BT90" s="3"/>
      <c r="BU90" s="3">
        <v>7</v>
      </c>
      <c r="BV90" s="3">
        <v>8</v>
      </c>
      <c r="BW90" s="3">
        <v>9</v>
      </c>
      <c r="BX90" s="3">
        <v>9</v>
      </c>
      <c r="BY90" s="3">
        <v>7</v>
      </c>
      <c r="BZ90" s="3">
        <v>8</v>
      </c>
      <c r="CA90" s="3">
        <v>9</v>
      </c>
      <c r="CB90" s="3">
        <v>9</v>
      </c>
      <c r="CC90" s="3">
        <v>8</v>
      </c>
      <c r="CD90" s="3">
        <v>7</v>
      </c>
      <c r="CE90" s="19">
        <v>9</v>
      </c>
      <c r="CF90" s="3">
        <v>9</v>
      </c>
      <c r="CG90" s="19">
        <v>9</v>
      </c>
      <c r="CH90" s="3">
        <v>7</v>
      </c>
      <c r="CI90" s="3">
        <v>9</v>
      </c>
      <c r="CJ90" s="3">
        <v>9</v>
      </c>
      <c r="CK90" s="3">
        <v>3</v>
      </c>
      <c r="CL90" s="3">
        <v>9</v>
      </c>
      <c r="CM90" s="19">
        <v>5</v>
      </c>
      <c r="CN90" s="3"/>
      <c r="CO90" s="3"/>
      <c r="CP90" s="3"/>
      <c r="CT90" s="3">
        <v>7</v>
      </c>
      <c r="CU90" s="3">
        <v>9</v>
      </c>
      <c r="CV90" s="3">
        <v>9</v>
      </c>
      <c r="CW90" s="3">
        <v>9</v>
      </c>
      <c r="CX90" s="3">
        <v>9</v>
      </c>
      <c r="CY90" s="3"/>
      <c r="CZ90" s="3">
        <v>1</v>
      </c>
      <c r="DA90" s="3">
        <v>9</v>
      </c>
      <c r="DB90" s="3">
        <v>9</v>
      </c>
      <c r="DC90" s="3"/>
      <c r="DD90" s="3"/>
      <c r="DE90" s="3">
        <v>7</v>
      </c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R90" s="3"/>
      <c r="DU90" s="3"/>
      <c r="DV90" s="3"/>
      <c r="DW90" s="3"/>
    </row>
    <row r="91" spans="1:142" s="3" customFormat="1" ht="15" customHeight="1" x14ac:dyDescent="0.25">
      <c r="A91" s="6" t="s">
        <v>230</v>
      </c>
      <c r="B91" s="2" t="s">
        <v>784</v>
      </c>
      <c r="C91" s="2" t="s">
        <v>1070</v>
      </c>
      <c r="D91" s="25" t="s">
        <v>786</v>
      </c>
      <c r="E91" s="4" t="s">
        <v>946</v>
      </c>
      <c r="F91" s="4" t="s">
        <v>1057</v>
      </c>
      <c r="G91" s="26">
        <v>1949</v>
      </c>
      <c r="H91" s="4" t="s">
        <v>19</v>
      </c>
      <c r="I91" s="5"/>
      <c r="J91" s="4" t="s">
        <v>1065</v>
      </c>
      <c r="K91" s="4" t="s">
        <v>1071</v>
      </c>
      <c r="L91" s="2"/>
      <c r="M91" s="5"/>
      <c r="N91" s="2" t="s">
        <v>1072</v>
      </c>
      <c r="O91" s="28" t="s">
        <v>2435</v>
      </c>
      <c r="P91" s="3">
        <v>7</v>
      </c>
      <c r="Q91" s="27">
        <v>1</v>
      </c>
      <c r="U91" s="3">
        <v>9</v>
      </c>
      <c r="Y91" s="3">
        <v>4</v>
      </c>
      <c r="Z91" s="3">
        <v>1</v>
      </c>
      <c r="AA91" s="3">
        <v>1</v>
      </c>
      <c r="AB91" s="3">
        <v>1</v>
      </c>
      <c r="AD91" s="3">
        <v>2</v>
      </c>
      <c r="AF91" s="3">
        <v>2</v>
      </c>
      <c r="AG91" s="3">
        <v>2</v>
      </c>
      <c r="AM91" s="3">
        <v>5</v>
      </c>
      <c r="AO91" s="3">
        <v>5</v>
      </c>
      <c r="AP91" s="3">
        <v>1</v>
      </c>
      <c r="AQ91" s="3">
        <v>6</v>
      </c>
      <c r="AR91" s="3">
        <v>5</v>
      </c>
      <c r="AS91" s="3">
        <v>3</v>
      </c>
      <c r="BK91" s="3">
        <v>5</v>
      </c>
      <c r="BN91" s="3">
        <v>4</v>
      </c>
      <c r="BQ91" s="3">
        <v>5</v>
      </c>
      <c r="BS91" s="3">
        <v>9</v>
      </c>
      <c r="BZ91" s="3">
        <v>9</v>
      </c>
      <c r="CC91" s="3">
        <v>9</v>
      </c>
      <c r="CD91" s="3">
        <v>9</v>
      </c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</row>
    <row r="92" spans="1:142" s="3" customFormat="1" ht="15" customHeight="1" x14ac:dyDescent="0.25">
      <c r="A92" s="6" t="s">
        <v>231</v>
      </c>
      <c r="B92" s="2" t="s">
        <v>784</v>
      </c>
      <c r="C92" s="2" t="s">
        <v>1073</v>
      </c>
      <c r="D92" s="25" t="s">
        <v>786</v>
      </c>
      <c r="E92" s="4" t="s">
        <v>946</v>
      </c>
      <c r="F92" s="4" t="s">
        <v>1074</v>
      </c>
      <c r="G92" s="26">
        <v>1954</v>
      </c>
      <c r="H92" s="4" t="s">
        <v>20</v>
      </c>
      <c r="I92" s="5"/>
      <c r="J92" s="4" t="s">
        <v>1065</v>
      </c>
      <c r="K92" s="1"/>
      <c r="L92" s="2"/>
      <c r="M92" s="5"/>
      <c r="N92" s="2" t="s">
        <v>1075</v>
      </c>
      <c r="O92" s="28" t="s">
        <v>2436</v>
      </c>
      <c r="P92" s="3">
        <v>7</v>
      </c>
      <c r="Q92" s="27">
        <v>2</v>
      </c>
      <c r="U92" s="3">
        <v>1</v>
      </c>
      <c r="Y92" s="3">
        <v>4</v>
      </c>
      <c r="Z92" s="3">
        <v>3</v>
      </c>
      <c r="AA92" s="3">
        <v>1</v>
      </c>
      <c r="AB92" s="3">
        <v>1</v>
      </c>
      <c r="AD92" s="3">
        <v>2</v>
      </c>
      <c r="AF92" s="3">
        <v>1</v>
      </c>
      <c r="AM92" s="3">
        <v>3</v>
      </c>
      <c r="AO92" s="3">
        <v>5</v>
      </c>
      <c r="AP92" s="3">
        <v>1</v>
      </c>
      <c r="AQ92" s="3">
        <v>5</v>
      </c>
      <c r="AR92" s="3">
        <v>5</v>
      </c>
      <c r="AS92" s="3">
        <v>2</v>
      </c>
      <c r="BF92" s="3">
        <v>3.86</v>
      </c>
      <c r="BN92" s="3">
        <v>4</v>
      </c>
      <c r="BQ92" s="3">
        <v>8</v>
      </c>
      <c r="BR92" s="3">
        <v>9</v>
      </c>
      <c r="BS92" s="3">
        <v>6</v>
      </c>
      <c r="BT92" s="19">
        <v>9</v>
      </c>
      <c r="BU92" s="3">
        <v>3</v>
      </c>
      <c r="BV92" s="19">
        <v>4</v>
      </c>
      <c r="BW92" s="19">
        <v>9</v>
      </c>
      <c r="BX92" s="19">
        <v>7</v>
      </c>
      <c r="BZ92" s="19">
        <v>7</v>
      </c>
      <c r="CA92" s="19">
        <v>9</v>
      </c>
      <c r="CB92" s="19">
        <v>6</v>
      </c>
      <c r="CC92" s="19">
        <v>7</v>
      </c>
      <c r="CD92" s="3">
        <v>9</v>
      </c>
      <c r="CE92" s="19">
        <v>9</v>
      </c>
      <c r="CF92" s="3">
        <v>9</v>
      </c>
      <c r="CH92" s="3">
        <v>9</v>
      </c>
      <c r="CI92" s="3">
        <v>9</v>
      </c>
      <c r="CJ92" s="3">
        <v>9</v>
      </c>
      <c r="CL92" s="3">
        <v>9</v>
      </c>
      <c r="CM92" s="19">
        <v>9</v>
      </c>
      <c r="CO92" s="3">
        <v>9</v>
      </c>
      <c r="CT92" s="3">
        <v>8</v>
      </c>
      <c r="CU92" s="3">
        <v>8</v>
      </c>
      <c r="CV92" s="3">
        <v>5</v>
      </c>
      <c r="CW92" s="3">
        <v>9</v>
      </c>
      <c r="CX92" s="3">
        <v>9</v>
      </c>
      <c r="DS92" s="1"/>
      <c r="DT92" s="1"/>
      <c r="DU92" s="1"/>
      <c r="DV92" s="1"/>
      <c r="DW92" s="1"/>
      <c r="DX92" s="1"/>
      <c r="DY92" s="1"/>
      <c r="DZ92" s="1"/>
      <c r="EE92" s="1"/>
      <c r="EF92" s="1"/>
      <c r="EG92" s="1"/>
      <c r="EH92" s="1"/>
      <c r="EI92" s="1"/>
      <c r="EJ92" s="1"/>
      <c r="EK92" s="1"/>
      <c r="EL92" s="1"/>
    </row>
    <row r="93" spans="1:142" ht="15" customHeight="1" x14ac:dyDescent="0.25">
      <c r="A93" s="6" t="s">
        <v>232</v>
      </c>
      <c r="B93" s="2" t="s">
        <v>784</v>
      </c>
      <c r="C93" s="2" t="s">
        <v>1076</v>
      </c>
      <c r="D93" s="25" t="s">
        <v>786</v>
      </c>
      <c r="E93" s="4" t="s">
        <v>787</v>
      </c>
      <c r="F93" s="4" t="s">
        <v>793</v>
      </c>
      <c r="G93" s="26">
        <v>1883</v>
      </c>
      <c r="H93" s="4" t="s">
        <v>25</v>
      </c>
      <c r="I93" s="4" t="s">
        <v>1077</v>
      </c>
      <c r="J93" s="4" t="s">
        <v>1065</v>
      </c>
      <c r="K93" s="4" t="s">
        <v>1078</v>
      </c>
      <c r="M93" s="5"/>
      <c r="N93" s="2" t="s">
        <v>1079</v>
      </c>
      <c r="O93" s="28" t="s">
        <v>2437</v>
      </c>
      <c r="P93" s="3">
        <v>7</v>
      </c>
      <c r="Q93" s="27">
        <v>2</v>
      </c>
      <c r="R93" s="3"/>
      <c r="S93" s="3">
        <v>1</v>
      </c>
      <c r="T93" s="3"/>
      <c r="U93" s="3">
        <v>1</v>
      </c>
      <c r="V93" s="3">
        <v>2</v>
      </c>
      <c r="W93" s="3"/>
      <c r="X93" s="19"/>
      <c r="Y93" s="3">
        <v>5</v>
      </c>
      <c r="Z93" s="3">
        <v>2</v>
      </c>
      <c r="AA93" s="3">
        <v>1</v>
      </c>
      <c r="AB93" s="3">
        <v>2</v>
      </c>
      <c r="AC93" s="3"/>
      <c r="AD93" s="3">
        <v>2</v>
      </c>
      <c r="AE93" s="3">
        <v>4</v>
      </c>
      <c r="AF93" s="3">
        <v>1</v>
      </c>
      <c r="AG93" s="3">
        <v>0</v>
      </c>
      <c r="AH93" s="3">
        <v>0</v>
      </c>
      <c r="AI93" s="3"/>
      <c r="AJ93" s="3"/>
      <c r="AK93" s="3"/>
      <c r="AL93" s="3"/>
      <c r="AM93" s="3">
        <v>2</v>
      </c>
      <c r="AN93" s="3">
        <v>3</v>
      </c>
      <c r="AO93" s="3">
        <v>7</v>
      </c>
      <c r="AP93" s="3">
        <v>1</v>
      </c>
      <c r="AQ93" s="3">
        <v>6</v>
      </c>
      <c r="AR93" s="3">
        <v>6</v>
      </c>
      <c r="AS93" s="3">
        <v>2</v>
      </c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>
        <v>4</v>
      </c>
      <c r="BO93" s="3"/>
      <c r="BP93" s="3"/>
      <c r="BQ93" s="3">
        <v>9</v>
      </c>
      <c r="BR93" s="3"/>
      <c r="BS93" s="3">
        <v>9</v>
      </c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R93" s="3"/>
    </row>
    <row r="94" spans="1:142" ht="15" customHeight="1" x14ac:dyDescent="0.25">
      <c r="A94" s="6" t="s">
        <v>233</v>
      </c>
      <c r="B94" s="2" t="s">
        <v>784</v>
      </c>
      <c r="C94" s="2" t="s">
        <v>1080</v>
      </c>
      <c r="D94" s="25" t="s">
        <v>786</v>
      </c>
      <c r="E94" s="4" t="s">
        <v>787</v>
      </c>
      <c r="F94" s="4" t="s">
        <v>793</v>
      </c>
      <c r="G94" s="29"/>
      <c r="H94" s="4" t="s">
        <v>26</v>
      </c>
      <c r="I94" s="5"/>
      <c r="J94" s="4" t="s">
        <v>1065</v>
      </c>
      <c r="K94" s="4" t="s">
        <v>1081</v>
      </c>
      <c r="M94" s="5"/>
      <c r="N94" s="2" t="s">
        <v>1082</v>
      </c>
      <c r="O94" s="28" t="s">
        <v>2438</v>
      </c>
      <c r="P94" s="3">
        <v>7</v>
      </c>
      <c r="Q94" s="27">
        <v>2</v>
      </c>
      <c r="R94" s="3"/>
      <c r="S94" s="3"/>
      <c r="T94" s="3"/>
      <c r="U94" s="3">
        <v>1</v>
      </c>
      <c r="V94" s="3"/>
      <c r="W94" s="3"/>
      <c r="X94" s="3"/>
      <c r="Y94" s="3">
        <v>6</v>
      </c>
      <c r="Z94" s="3">
        <v>2</v>
      </c>
      <c r="AA94" s="3">
        <v>1</v>
      </c>
      <c r="AB94" s="3">
        <v>1</v>
      </c>
      <c r="AC94" s="3"/>
      <c r="AD94" s="3">
        <v>5</v>
      </c>
      <c r="AE94" s="3"/>
      <c r="AF94" s="3">
        <v>1</v>
      </c>
      <c r="AG94" s="3"/>
      <c r="AH94" s="3"/>
      <c r="AI94" s="3"/>
      <c r="AJ94" s="3"/>
      <c r="AK94" s="3"/>
      <c r="AL94" s="3"/>
      <c r="AM94" s="3">
        <v>3</v>
      </c>
      <c r="AN94" s="3"/>
      <c r="AO94" s="3">
        <v>6</v>
      </c>
      <c r="AP94" s="3">
        <v>1</v>
      </c>
      <c r="AQ94" s="3">
        <v>5</v>
      </c>
      <c r="AR94" s="3">
        <v>5</v>
      </c>
      <c r="AS94" s="3">
        <v>2</v>
      </c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>
        <v>7</v>
      </c>
      <c r="BH94" s="3"/>
      <c r="BI94" s="3"/>
      <c r="BJ94" s="3"/>
      <c r="BK94" s="3">
        <v>1</v>
      </c>
      <c r="BL94" s="3"/>
      <c r="BM94" s="3"/>
      <c r="BN94" s="3"/>
      <c r="BO94" s="3"/>
      <c r="BP94" s="3"/>
      <c r="BQ94" s="3">
        <v>9</v>
      </c>
      <c r="BR94" s="3"/>
      <c r="BS94" s="3">
        <v>9</v>
      </c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R94" s="3"/>
    </row>
    <row r="95" spans="1:142" ht="15" customHeight="1" x14ac:dyDescent="0.25">
      <c r="A95" s="6" t="s">
        <v>234</v>
      </c>
      <c r="B95" s="2" t="s">
        <v>784</v>
      </c>
      <c r="C95" s="2" t="s">
        <v>1083</v>
      </c>
      <c r="D95" s="25" t="s">
        <v>786</v>
      </c>
      <c r="E95" s="4" t="s">
        <v>787</v>
      </c>
      <c r="F95" s="4" t="s">
        <v>986</v>
      </c>
      <c r="G95" s="26">
        <v>1939</v>
      </c>
      <c r="H95" s="4" t="s">
        <v>31</v>
      </c>
      <c r="I95" s="5"/>
      <c r="J95" s="4" t="s">
        <v>1065</v>
      </c>
      <c r="K95" s="4" t="s">
        <v>31</v>
      </c>
      <c r="M95" s="5"/>
      <c r="N95" s="2" t="s">
        <v>1084</v>
      </c>
      <c r="O95" s="28" t="s">
        <v>2439</v>
      </c>
      <c r="P95" s="3">
        <v>7</v>
      </c>
      <c r="Q95" s="27">
        <v>1</v>
      </c>
      <c r="R95" s="3"/>
      <c r="S95" s="3"/>
      <c r="T95" s="3"/>
      <c r="U95" s="3">
        <v>1</v>
      </c>
      <c r="V95" s="3"/>
      <c r="W95" s="3"/>
      <c r="X95" s="3"/>
      <c r="Y95" s="3">
        <v>4</v>
      </c>
      <c r="Z95" s="3">
        <v>2</v>
      </c>
      <c r="AA95" s="3">
        <v>1</v>
      </c>
      <c r="AB95" s="3">
        <v>1</v>
      </c>
      <c r="AC95" s="3"/>
      <c r="AD95" s="3">
        <v>1</v>
      </c>
      <c r="AE95" s="3"/>
      <c r="AF95" s="3">
        <v>1</v>
      </c>
      <c r="AG95" s="3"/>
      <c r="AH95" s="3"/>
      <c r="AI95" s="3"/>
      <c r="AJ95" s="3"/>
      <c r="AK95" s="3"/>
      <c r="AL95" s="3"/>
      <c r="AM95" s="3">
        <v>3</v>
      </c>
      <c r="AN95" s="3"/>
      <c r="AO95" s="3">
        <v>6</v>
      </c>
      <c r="AP95" s="3">
        <v>1</v>
      </c>
      <c r="AQ95" s="3">
        <v>4</v>
      </c>
      <c r="AR95" s="3">
        <v>5</v>
      </c>
      <c r="AS95" s="3">
        <v>2</v>
      </c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>
        <v>2</v>
      </c>
      <c r="BO95" s="3"/>
      <c r="BP95" s="3"/>
      <c r="BQ95" s="3">
        <v>9</v>
      </c>
      <c r="BR95" s="3">
        <v>9</v>
      </c>
      <c r="BS95" s="3">
        <v>9</v>
      </c>
      <c r="BT95" s="19">
        <v>8</v>
      </c>
      <c r="BU95" s="3">
        <v>6</v>
      </c>
      <c r="BV95" s="19">
        <v>9</v>
      </c>
      <c r="BW95" s="19">
        <v>8</v>
      </c>
      <c r="BX95" s="19">
        <v>7</v>
      </c>
      <c r="BY95" s="19">
        <v>7</v>
      </c>
      <c r="BZ95" s="19">
        <v>9</v>
      </c>
      <c r="CA95" s="19">
        <v>9</v>
      </c>
      <c r="CB95" s="19">
        <v>9</v>
      </c>
      <c r="CC95" s="19">
        <v>9</v>
      </c>
      <c r="CD95" s="3">
        <v>9</v>
      </c>
      <c r="CE95" s="19">
        <v>9</v>
      </c>
      <c r="CF95" s="3">
        <v>8</v>
      </c>
      <c r="CG95" s="19">
        <v>9</v>
      </c>
      <c r="CH95" s="3">
        <v>9</v>
      </c>
      <c r="CI95" s="3">
        <v>9</v>
      </c>
      <c r="CJ95" s="3">
        <v>9</v>
      </c>
      <c r="CK95" s="3">
        <v>9</v>
      </c>
      <c r="CL95" s="3">
        <v>7</v>
      </c>
      <c r="CM95" s="19">
        <v>9</v>
      </c>
      <c r="CN95" s="3"/>
      <c r="CO95" s="3"/>
      <c r="CP95" s="3"/>
      <c r="CT95" s="3">
        <v>8</v>
      </c>
      <c r="CU95" s="3">
        <v>9</v>
      </c>
      <c r="CV95" s="3">
        <v>7</v>
      </c>
      <c r="CW95" s="3">
        <v>9</v>
      </c>
      <c r="CX95" s="3">
        <v>9</v>
      </c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R95" s="3"/>
    </row>
    <row r="96" spans="1:142" ht="15" customHeight="1" x14ac:dyDescent="0.25">
      <c r="A96" s="6" t="s">
        <v>235</v>
      </c>
      <c r="B96" s="2" t="s">
        <v>784</v>
      </c>
      <c r="C96" s="2" t="s">
        <v>1085</v>
      </c>
      <c r="D96" s="25" t="s">
        <v>786</v>
      </c>
      <c r="E96" s="4" t="s">
        <v>787</v>
      </c>
      <c r="F96" s="4" t="s">
        <v>1086</v>
      </c>
      <c r="G96" s="29"/>
      <c r="H96" s="4" t="s">
        <v>32</v>
      </c>
      <c r="I96" s="5"/>
      <c r="J96" s="4" t="s">
        <v>1065</v>
      </c>
      <c r="K96" s="4" t="s">
        <v>1087</v>
      </c>
      <c r="M96" s="5"/>
      <c r="N96" s="2" t="s">
        <v>1088</v>
      </c>
      <c r="O96" s="28" t="s">
        <v>2440</v>
      </c>
      <c r="P96" s="3">
        <v>7</v>
      </c>
      <c r="Q96" s="27">
        <v>1</v>
      </c>
      <c r="R96" s="3"/>
      <c r="S96" s="3">
        <v>1</v>
      </c>
      <c r="T96" s="3"/>
      <c r="U96" s="3">
        <v>1</v>
      </c>
      <c r="V96" s="3">
        <v>2</v>
      </c>
      <c r="W96" s="3"/>
      <c r="X96" s="3"/>
      <c r="Y96" s="3">
        <v>3</v>
      </c>
      <c r="Z96" s="3">
        <v>2</v>
      </c>
      <c r="AA96" s="3">
        <v>1</v>
      </c>
      <c r="AB96" s="3">
        <v>2</v>
      </c>
      <c r="AC96" s="3"/>
      <c r="AD96" s="3">
        <v>2</v>
      </c>
      <c r="AE96" s="3">
        <v>4</v>
      </c>
      <c r="AF96" s="3">
        <v>1</v>
      </c>
      <c r="AG96" s="3">
        <v>0</v>
      </c>
      <c r="AH96" s="3">
        <v>0</v>
      </c>
      <c r="AI96" s="3"/>
      <c r="AJ96" s="3"/>
      <c r="AK96" s="3"/>
      <c r="AL96" s="3"/>
      <c r="AM96" s="3">
        <v>2</v>
      </c>
      <c r="AN96" s="3">
        <v>3</v>
      </c>
      <c r="AO96" s="3">
        <v>6</v>
      </c>
      <c r="AP96" s="3">
        <v>1</v>
      </c>
      <c r="AQ96" s="3">
        <v>6</v>
      </c>
      <c r="AR96" s="3">
        <v>5</v>
      </c>
      <c r="AS96" s="3">
        <v>4</v>
      </c>
      <c r="AT96" s="3"/>
      <c r="AU96" s="3"/>
      <c r="AV96" s="3"/>
      <c r="AW96" s="3"/>
      <c r="AX96" s="3"/>
      <c r="AY96" s="3"/>
      <c r="AZ96" s="3"/>
      <c r="BA96" s="3"/>
      <c r="BB96" s="3">
        <v>1</v>
      </c>
      <c r="BC96" s="3">
        <v>115</v>
      </c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>
        <v>4</v>
      </c>
      <c r="BO96" s="3"/>
      <c r="BP96" s="3"/>
      <c r="BQ96" s="3">
        <v>9</v>
      </c>
      <c r="BR96" s="3">
        <v>9</v>
      </c>
      <c r="BS96" s="3">
        <v>9</v>
      </c>
      <c r="BT96" s="19">
        <v>5</v>
      </c>
      <c r="BU96" s="3">
        <v>9</v>
      </c>
      <c r="BV96" s="19">
        <v>9</v>
      </c>
      <c r="BW96" s="19">
        <v>9</v>
      </c>
      <c r="BX96" s="19">
        <v>7</v>
      </c>
      <c r="BY96" s="19">
        <v>7</v>
      </c>
      <c r="BZ96" s="19">
        <v>9</v>
      </c>
      <c r="CA96" s="19">
        <v>9</v>
      </c>
      <c r="CB96" s="19">
        <v>9</v>
      </c>
      <c r="CC96" s="19">
        <v>9</v>
      </c>
      <c r="CD96" s="3">
        <v>9</v>
      </c>
      <c r="CE96" s="19">
        <v>9</v>
      </c>
      <c r="CF96" s="3">
        <v>9</v>
      </c>
      <c r="CG96" s="19">
        <v>9</v>
      </c>
      <c r="CH96" s="3">
        <v>9</v>
      </c>
      <c r="CI96" s="3">
        <v>9</v>
      </c>
      <c r="CJ96" s="3">
        <v>9</v>
      </c>
      <c r="CK96" s="3">
        <v>9</v>
      </c>
      <c r="CL96" s="3">
        <v>9</v>
      </c>
      <c r="CM96" s="19">
        <v>9</v>
      </c>
      <c r="CN96" s="3"/>
      <c r="CO96" s="3"/>
      <c r="CP96" s="3"/>
      <c r="CT96" s="3">
        <v>9</v>
      </c>
      <c r="CU96" s="3">
        <v>9</v>
      </c>
      <c r="CV96" s="3">
        <v>9</v>
      </c>
      <c r="CW96" s="3">
        <v>9</v>
      </c>
      <c r="CX96" s="3">
        <v>9</v>
      </c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R96" s="3"/>
    </row>
    <row r="97" spans="1:142" ht="15" customHeight="1" x14ac:dyDescent="0.25">
      <c r="A97" s="6" t="s">
        <v>236</v>
      </c>
      <c r="B97" s="2" t="s">
        <v>784</v>
      </c>
      <c r="C97" s="2" t="s">
        <v>1089</v>
      </c>
      <c r="D97" s="25" t="s">
        <v>786</v>
      </c>
      <c r="E97" s="4" t="s">
        <v>787</v>
      </c>
      <c r="F97" s="4" t="s">
        <v>793</v>
      </c>
      <c r="G97" s="26">
        <v>1914</v>
      </c>
      <c r="H97" s="4" t="s">
        <v>43</v>
      </c>
      <c r="I97" s="5"/>
      <c r="J97" s="4" t="s">
        <v>1065</v>
      </c>
      <c r="K97" s="4" t="s">
        <v>43</v>
      </c>
      <c r="M97" s="5"/>
      <c r="N97" s="2" t="s">
        <v>1090</v>
      </c>
      <c r="O97" s="28" t="s">
        <v>2441</v>
      </c>
      <c r="P97" s="3">
        <v>7</v>
      </c>
      <c r="Q97" s="27">
        <v>1</v>
      </c>
      <c r="R97" s="3"/>
      <c r="S97" s="3">
        <v>1</v>
      </c>
      <c r="T97" s="3">
        <v>3</v>
      </c>
      <c r="U97" s="3">
        <v>1</v>
      </c>
      <c r="V97" s="3"/>
      <c r="W97" s="3"/>
      <c r="X97" s="3"/>
      <c r="Y97" s="3">
        <v>5</v>
      </c>
      <c r="Z97" s="3">
        <v>2</v>
      </c>
      <c r="AA97" s="3">
        <v>1</v>
      </c>
      <c r="AB97" s="3">
        <v>1</v>
      </c>
      <c r="AC97" s="3"/>
      <c r="AD97" s="3">
        <v>2</v>
      </c>
      <c r="AE97" s="3"/>
      <c r="AF97" s="3">
        <v>1</v>
      </c>
      <c r="AG97" s="3"/>
      <c r="AH97" s="3"/>
      <c r="AI97" s="3"/>
      <c r="AJ97" s="3"/>
      <c r="AK97" s="3"/>
      <c r="AL97" s="3"/>
      <c r="AM97" s="3">
        <v>3</v>
      </c>
      <c r="AN97" s="3"/>
      <c r="AO97" s="3">
        <v>6</v>
      </c>
      <c r="AP97" s="3">
        <v>1</v>
      </c>
      <c r="AQ97" s="3">
        <v>6</v>
      </c>
      <c r="AR97" s="3">
        <v>5</v>
      </c>
      <c r="AS97" s="3">
        <v>3</v>
      </c>
      <c r="AT97" s="3"/>
      <c r="AU97" s="3"/>
      <c r="AV97" s="3"/>
      <c r="AW97" s="3"/>
      <c r="AX97" s="3"/>
      <c r="AY97" s="3"/>
      <c r="AZ97" s="3"/>
      <c r="BA97" s="3"/>
      <c r="BB97" s="3">
        <v>1</v>
      </c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>
        <v>9</v>
      </c>
      <c r="BR97" s="3">
        <v>8</v>
      </c>
      <c r="BS97" s="3">
        <v>9</v>
      </c>
      <c r="BT97" s="19">
        <v>8</v>
      </c>
      <c r="BU97" s="3">
        <v>8</v>
      </c>
      <c r="BV97" s="19">
        <v>9</v>
      </c>
      <c r="BW97" s="19">
        <v>9</v>
      </c>
      <c r="BX97" s="19">
        <v>8</v>
      </c>
      <c r="BY97" s="19">
        <v>7</v>
      </c>
      <c r="BZ97" s="19">
        <v>9</v>
      </c>
      <c r="CA97" s="19">
        <v>9</v>
      </c>
      <c r="CB97" s="19">
        <v>9</v>
      </c>
      <c r="CC97" s="19">
        <v>9</v>
      </c>
      <c r="CD97" s="3">
        <v>8</v>
      </c>
      <c r="CE97" s="19">
        <v>9</v>
      </c>
      <c r="CF97" s="3">
        <v>8</v>
      </c>
      <c r="CG97" s="19">
        <v>9</v>
      </c>
      <c r="CH97" s="3">
        <v>9</v>
      </c>
      <c r="CI97" s="3">
        <v>9</v>
      </c>
      <c r="CJ97" s="3">
        <v>9</v>
      </c>
      <c r="CK97" s="3">
        <v>9</v>
      </c>
      <c r="CL97" s="3">
        <v>7</v>
      </c>
      <c r="CM97" s="19">
        <v>9</v>
      </c>
      <c r="CN97" s="3"/>
      <c r="CO97" s="3"/>
      <c r="CP97" s="3"/>
      <c r="CT97" s="3">
        <v>9</v>
      </c>
      <c r="CU97" s="3">
        <v>9</v>
      </c>
      <c r="CV97" s="3">
        <v>8</v>
      </c>
      <c r="CW97" s="3"/>
      <c r="CX97" s="3">
        <v>9</v>
      </c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R97" s="3"/>
    </row>
    <row r="98" spans="1:142" ht="15" customHeight="1" x14ac:dyDescent="0.25">
      <c r="A98" s="6" t="s">
        <v>237</v>
      </c>
      <c r="B98" s="2" t="s">
        <v>784</v>
      </c>
      <c r="C98" s="2" t="s">
        <v>1091</v>
      </c>
      <c r="D98" s="25" t="s">
        <v>786</v>
      </c>
      <c r="E98" s="4" t="s">
        <v>787</v>
      </c>
      <c r="F98" s="4" t="s">
        <v>822</v>
      </c>
      <c r="G98" s="29"/>
      <c r="H98" s="4" t="s">
        <v>45</v>
      </c>
      <c r="I98" s="5"/>
      <c r="J98" s="4" t="s">
        <v>1065</v>
      </c>
      <c r="K98" s="4" t="s">
        <v>1092</v>
      </c>
      <c r="M98" s="4" t="s">
        <v>1093</v>
      </c>
      <c r="N98" s="2" t="s">
        <v>1094</v>
      </c>
      <c r="O98" s="28" t="s">
        <v>2442</v>
      </c>
      <c r="P98" s="3">
        <v>7</v>
      </c>
      <c r="Q98" s="27">
        <v>1</v>
      </c>
      <c r="R98" s="3"/>
      <c r="S98" s="3">
        <v>1</v>
      </c>
      <c r="T98" s="3">
        <v>3</v>
      </c>
      <c r="U98" s="3">
        <v>1</v>
      </c>
      <c r="V98" s="3"/>
      <c r="W98" s="3"/>
      <c r="X98" s="3"/>
      <c r="Y98" s="3">
        <v>6</v>
      </c>
      <c r="Z98" s="3">
        <v>2</v>
      </c>
      <c r="AA98" s="3">
        <v>1</v>
      </c>
      <c r="AB98" s="3">
        <v>1</v>
      </c>
      <c r="AC98" s="3"/>
      <c r="AD98" s="3">
        <v>2</v>
      </c>
      <c r="AE98" s="3"/>
      <c r="AF98" s="3">
        <v>1</v>
      </c>
      <c r="AG98" s="3"/>
      <c r="AH98" s="3"/>
      <c r="AI98" s="3"/>
      <c r="AJ98" s="3"/>
      <c r="AK98" s="3"/>
      <c r="AL98" s="3"/>
      <c r="AM98" s="3">
        <v>3</v>
      </c>
      <c r="AN98" s="3"/>
      <c r="AO98" s="3">
        <v>6</v>
      </c>
      <c r="AP98" s="3">
        <v>1</v>
      </c>
      <c r="AQ98" s="3">
        <v>6</v>
      </c>
      <c r="AR98" s="3">
        <v>5</v>
      </c>
      <c r="AS98" s="3">
        <v>2</v>
      </c>
      <c r="AT98" s="3"/>
      <c r="AU98" s="3"/>
      <c r="AV98" s="3"/>
      <c r="AW98" s="3"/>
      <c r="AX98" s="3"/>
      <c r="AY98" s="3"/>
      <c r="AZ98" s="3"/>
      <c r="BA98" s="3"/>
      <c r="BB98" s="3">
        <v>1</v>
      </c>
      <c r="BC98" s="3"/>
      <c r="BD98" s="3"/>
      <c r="BE98" s="3"/>
      <c r="BF98" s="3"/>
      <c r="BG98" s="3"/>
      <c r="BH98" s="3">
        <v>2</v>
      </c>
      <c r="BI98" s="3"/>
      <c r="BJ98" s="3"/>
      <c r="BK98" s="3">
        <v>4</v>
      </c>
      <c r="BL98" s="3">
        <v>2</v>
      </c>
      <c r="BM98" s="3"/>
      <c r="BN98" s="3">
        <v>2</v>
      </c>
      <c r="BO98" s="3"/>
      <c r="BP98" s="3"/>
      <c r="BQ98" s="3">
        <v>1</v>
      </c>
      <c r="BR98" s="3">
        <v>9</v>
      </c>
      <c r="BS98" s="3">
        <v>9</v>
      </c>
      <c r="BT98" s="3">
        <v>9</v>
      </c>
      <c r="BU98" s="3">
        <v>1</v>
      </c>
      <c r="BV98" s="3">
        <v>9</v>
      </c>
      <c r="BW98" s="3">
        <v>1</v>
      </c>
      <c r="BX98" s="3">
        <v>9</v>
      </c>
      <c r="BY98" s="3">
        <v>9</v>
      </c>
      <c r="BZ98" s="3">
        <v>9</v>
      </c>
      <c r="CA98" s="3">
        <v>9</v>
      </c>
      <c r="CB98" s="3">
        <v>9</v>
      </c>
      <c r="CC98" s="3">
        <v>9</v>
      </c>
      <c r="CD98" s="3">
        <v>9</v>
      </c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T98" s="3"/>
      <c r="CU98" s="3"/>
      <c r="CV98" s="3"/>
      <c r="CW98" s="3"/>
      <c r="CX98" s="3"/>
      <c r="CY98" s="3"/>
      <c r="CZ98" s="3">
        <v>1</v>
      </c>
      <c r="DA98" s="3">
        <v>1</v>
      </c>
      <c r="DB98" s="3">
        <v>1</v>
      </c>
      <c r="DC98" s="3">
        <v>1</v>
      </c>
      <c r="DD98" s="3">
        <v>1</v>
      </c>
      <c r="DE98" s="3">
        <v>1</v>
      </c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R98" s="3"/>
    </row>
    <row r="99" spans="1:142" ht="15" customHeight="1" x14ac:dyDescent="0.25">
      <c r="A99" s="6" t="s">
        <v>238</v>
      </c>
      <c r="B99" s="2" t="s">
        <v>784</v>
      </c>
      <c r="C99" s="2" t="s">
        <v>1095</v>
      </c>
      <c r="D99" s="25" t="s">
        <v>786</v>
      </c>
      <c r="E99" s="4" t="s">
        <v>787</v>
      </c>
      <c r="F99" s="4" t="s">
        <v>1096</v>
      </c>
      <c r="G99" s="26">
        <v>1986</v>
      </c>
      <c r="H99" s="4" t="s">
        <v>51</v>
      </c>
      <c r="I99" s="5"/>
      <c r="J99" s="4" t="s">
        <v>1065</v>
      </c>
      <c r="K99" s="4" t="s">
        <v>1097</v>
      </c>
      <c r="M99" s="5"/>
      <c r="N99" s="2" t="s">
        <v>1098</v>
      </c>
      <c r="O99" s="28" t="s">
        <v>2443</v>
      </c>
      <c r="P99" s="3">
        <v>7</v>
      </c>
      <c r="Q99" s="27">
        <v>1</v>
      </c>
      <c r="R99" s="3"/>
      <c r="S99" s="3">
        <v>1</v>
      </c>
      <c r="T99" s="3">
        <v>3</v>
      </c>
      <c r="U99" s="3"/>
      <c r="V99" s="3">
        <v>2</v>
      </c>
      <c r="W99" s="3"/>
      <c r="X99" s="19">
        <v>7</v>
      </c>
      <c r="Y99" s="3">
        <v>3</v>
      </c>
      <c r="Z99" s="3">
        <v>2</v>
      </c>
      <c r="AA99" s="3">
        <v>1</v>
      </c>
      <c r="AB99" s="3">
        <v>1</v>
      </c>
      <c r="AC99" s="3"/>
      <c r="AD99" s="3">
        <v>2</v>
      </c>
      <c r="AE99" s="3">
        <v>5</v>
      </c>
      <c r="AF99" s="3">
        <v>2</v>
      </c>
      <c r="AG99" s="3"/>
      <c r="AH99" s="3"/>
      <c r="AI99" s="3"/>
      <c r="AJ99" s="3"/>
      <c r="AK99" s="3"/>
      <c r="AL99" s="3"/>
      <c r="AM99" s="3">
        <v>2</v>
      </c>
      <c r="AN99" s="3">
        <v>3</v>
      </c>
      <c r="AO99" s="3">
        <v>6</v>
      </c>
      <c r="AP99" s="3">
        <v>1</v>
      </c>
      <c r="AQ99" s="3">
        <v>6</v>
      </c>
      <c r="AR99" s="3">
        <v>5</v>
      </c>
      <c r="AS99" s="3">
        <v>2</v>
      </c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>
        <v>9</v>
      </c>
      <c r="BR99" s="3">
        <v>9</v>
      </c>
      <c r="BS99" s="3">
        <v>1</v>
      </c>
      <c r="BT99" s="19">
        <v>9</v>
      </c>
      <c r="BU99" s="3">
        <v>7</v>
      </c>
      <c r="BV99" s="19">
        <v>9</v>
      </c>
      <c r="BW99" s="19">
        <v>9</v>
      </c>
      <c r="BX99" s="19">
        <v>9</v>
      </c>
      <c r="BY99" s="3"/>
      <c r="BZ99" s="3">
        <v>9</v>
      </c>
      <c r="CA99" s="19">
        <v>9</v>
      </c>
      <c r="CB99" s="19">
        <v>9</v>
      </c>
      <c r="CC99" s="3">
        <v>9</v>
      </c>
      <c r="CD99" s="3">
        <v>9</v>
      </c>
      <c r="CE99" s="19">
        <v>1</v>
      </c>
      <c r="CF99" s="3">
        <v>9</v>
      </c>
      <c r="CG99" s="3"/>
      <c r="CH99" s="3">
        <v>9</v>
      </c>
      <c r="CI99" s="3">
        <v>9</v>
      </c>
      <c r="CJ99" s="3">
        <v>9</v>
      </c>
      <c r="CK99" s="3">
        <v>9</v>
      </c>
      <c r="CL99" s="3">
        <v>9</v>
      </c>
      <c r="CM99" s="19">
        <v>9</v>
      </c>
      <c r="CN99" s="3"/>
      <c r="CO99" s="3"/>
      <c r="CP99" s="3"/>
      <c r="CT99" s="3">
        <v>9</v>
      </c>
      <c r="CU99" s="3">
        <v>9</v>
      </c>
      <c r="CV99" s="3">
        <v>9</v>
      </c>
      <c r="CW99" s="3">
        <v>9</v>
      </c>
      <c r="CX99" s="3">
        <v>9</v>
      </c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R99" s="3"/>
    </row>
    <row r="100" spans="1:142" ht="15" customHeight="1" x14ac:dyDescent="0.25">
      <c r="A100" s="6" t="s">
        <v>239</v>
      </c>
      <c r="B100" s="2" t="s">
        <v>784</v>
      </c>
      <c r="C100" s="2" t="s">
        <v>1099</v>
      </c>
      <c r="D100" s="25" t="s">
        <v>786</v>
      </c>
      <c r="E100" s="4" t="s">
        <v>946</v>
      </c>
      <c r="F100" s="4" t="s">
        <v>1100</v>
      </c>
      <c r="G100" s="26">
        <v>1986</v>
      </c>
      <c r="H100" s="4" t="s">
        <v>57</v>
      </c>
      <c r="I100" s="5"/>
      <c r="J100" s="4" t="s">
        <v>1065</v>
      </c>
      <c r="M100" s="5"/>
      <c r="N100" s="2" t="s">
        <v>1101</v>
      </c>
      <c r="O100" s="28" t="s">
        <v>2444</v>
      </c>
      <c r="P100" s="3">
        <v>7</v>
      </c>
      <c r="Q100" s="27">
        <v>2</v>
      </c>
      <c r="R100" s="3"/>
      <c r="S100" s="3">
        <v>2</v>
      </c>
      <c r="T100" s="3">
        <v>3</v>
      </c>
      <c r="U100" s="3">
        <v>1</v>
      </c>
      <c r="V100" s="3">
        <v>2</v>
      </c>
      <c r="W100" s="3"/>
      <c r="X100" s="3"/>
      <c r="Y100" s="3">
        <v>5</v>
      </c>
      <c r="Z100" s="3">
        <v>2</v>
      </c>
      <c r="AA100" s="3">
        <v>1</v>
      </c>
      <c r="AB100" s="3">
        <v>2</v>
      </c>
      <c r="AC100" s="3"/>
      <c r="AD100" s="3"/>
      <c r="AE100" s="3">
        <v>5</v>
      </c>
      <c r="AF100" s="3">
        <v>1</v>
      </c>
      <c r="AG100" s="3">
        <v>0</v>
      </c>
      <c r="AH100" s="3">
        <v>0</v>
      </c>
      <c r="AI100" s="3"/>
      <c r="AJ100" s="3"/>
      <c r="AK100" s="3"/>
      <c r="AL100" s="3"/>
      <c r="AM100" s="3">
        <v>2</v>
      </c>
      <c r="AN100" s="3">
        <v>8</v>
      </c>
      <c r="AO100" s="3">
        <v>7</v>
      </c>
      <c r="AP100" s="3">
        <v>0</v>
      </c>
      <c r="AQ100" s="3">
        <v>2</v>
      </c>
      <c r="AR100" s="3">
        <v>7</v>
      </c>
      <c r="AS100" s="3">
        <v>1</v>
      </c>
      <c r="AT100" s="3"/>
      <c r="AU100" s="3"/>
      <c r="AV100" s="3"/>
      <c r="AW100" s="3"/>
      <c r="AX100" s="3"/>
      <c r="AY100" s="3"/>
      <c r="AZ100" s="3"/>
      <c r="BA100" s="3"/>
      <c r="BB100" s="3">
        <v>1</v>
      </c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>
        <v>9</v>
      </c>
      <c r="BR100" s="3">
        <v>9</v>
      </c>
      <c r="BS100" s="3">
        <v>8</v>
      </c>
      <c r="BT100" s="19">
        <v>7</v>
      </c>
      <c r="BU100" s="3"/>
      <c r="BV100" s="19">
        <v>3</v>
      </c>
      <c r="BW100" s="19">
        <v>9</v>
      </c>
      <c r="BX100" s="19">
        <v>7</v>
      </c>
      <c r="BY100" s="19">
        <v>7</v>
      </c>
      <c r="BZ100" s="19">
        <v>9</v>
      </c>
      <c r="CA100" s="19">
        <v>8</v>
      </c>
      <c r="CB100" s="19">
        <v>9</v>
      </c>
      <c r="CC100" s="19">
        <v>1</v>
      </c>
      <c r="CD100" s="3">
        <v>1</v>
      </c>
      <c r="CE100" s="19">
        <v>9</v>
      </c>
      <c r="CF100" s="3">
        <v>1</v>
      </c>
      <c r="CG100" s="19">
        <v>1</v>
      </c>
      <c r="CH100" s="3">
        <v>1</v>
      </c>
      <c r="CI100" s="3">
        <v>1</v>
      </c>
      <c r="CJ100" s="3">
        <v>9</v>
      </c>
      <c r="CK100" s="3">
        <v>5</v>
      </c>
      <c r="CL100" s="3">
        <v>3</v>
      </c>
      <c r="CM100" s="3"/>
      <c r="CN100" s="3"/>
      <c r="CO100" s="3"/>
      <c r="CP100" s="3"/>
      <c r="CT100" s="3">
        <v>9</v>
      </c>
      <c r="CU100" s="3">
        <v>7</v>
      </c>
      <c r="CV100" s="3">
        <v>7</v>
      </c>
      <c r="CW100" s="3">
        <v>9</v>
      </c>
      <c r="CX100" s="3">
        <v>9</v>
      </c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R100" s="3"/>
    </row>
    <row r="101" spans="1:142" ht="15" customHeight="1" x14ac:dyDescent="0.25">
      <c r="A101" s="6" t="s">
        <v>240</v>
      </c>
      <c r="B101" s="2" t="s">
        <v>784</v>
      </c>
      <c r="C101" s="2" t="s">
        <v>1102</v>
      </c>
      <c r="D101" s="25" t="s">
        <v>786</v>
      </c>
      <c r="E101" s="4" t="s">
        <v>787</v>
      </c>
      <c r="F101" s="4" t="s">
        <v>986</v>
      </c>
      <c r="G101" s="29"/>
      <c r="H101" s="4" t="s">
        <v>64</v>
      </c>
      <c r="I101" s="5"/>
      <c r="J101" s="4" t="s">
        <v>1065</v>
      </c>
      <c r="K101" s="4" t="s">
        <v>1103</v>
      </c>
      <c r="M101" s="5"/>
      <c r="N101" s="2" t="s">
        <v>1104</v>
      </c>
      <c r="O101" s="28" t="s">
        <v>2445</v>
      </c>
      <c r="P101" s="3">
        <v>6</v>
      </c>
      <c r="Q101" s="27">
        <v>1</v>
      </c>
      <c r="R101" s="3"/>
      <c r="S101" s="3"/>
      <c r="T101" s="3"/>
      <c r="U101" s="3"/>
      <c r="V101" s="3">
        <v>2</v>
      </c>
      <c r="W101" s="3"/>
      <c r="X101" s="3"/>
      <c r="Y101" s="3">
        <v>3</v>
      </c>
      <c r="Z101" s="3">
        <v>2</v>
      </c>
      <c r="AA101" s="3">
        <v>1</v>
      </c>
      <c r="AB101" s="3">
        <v>1</v>
      </c>
      <c r="AC101" s="3"/>
      <c r="AD101" s="3">
        <v>2</v>
      </c>
      <c r="AE101" s="3">
        <v>5</v>
      </c>
      <c r="AF101" s="3"/>
      <c r="AG101" s="3"/>
      <c r="AH101" s="3">
        <v>2</v>
      </c>
      <c r="AI101" s="3"/>
      <c r="AJ101" s="3"/>
      <c r="AK101" s="3"/>
      <c r="AL101" s="3"/>
      <c r="AM101" s="3">
        <v>1</v>
      </c>
      <c r="AN101" s="3">
        <v>2</v>
      </c>
      <c r="AO101" s="3">
        <v>5</v>
      </c>
      <c r="AP101" s="3">
        <v>1</v>
      </c>
      <c r="AQ101" s="3">
        <v>5</v>
      </c>
      <c r="AR101" s="3">
        <v>5</v>
      </c>
      <c r="AS101" s="3">
        <v>4</v>
      </c>
      <c r="AT101" s="3"/>
      <c r="AU101" s="3"/>
      <c r="AV101" s="3"/>
      <c r="AW101" s="3"/>
      <c r="AX101" s="3"/>
      <c r="AY101" s="3"/>
      <c r="AZ101" s="3"/>
      <c r="BA101" s="3">
        <v>1</v>
      </c>
      <c r="BB101" s="3">
        <v>9</v>
      </c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>
        <v>4</v>
      </c>
      <c r="BO101" s="3"/>
      <c r="BP101" s="3"/>
      <c r="BQ101" s="3">
        <v>9</v>
      </c>
      <c r="BR101" s="3">
        <v>7</v>
      </c>
      <c r="BS101" s="3">
        <v>9</v>
      </c>
      <c r="BT101" s="19">
        <v>5</v>
      </c>
      <c r="BU101" s="3">
        <v>5</v>
      </c>
      <c r="BV101" s="19">
        <v>9</v>
      </c>
      <c r="BW101" s="19">
        <v>9</v>
      </c>
      <c r="BX101" s="19">
        <v>9</v>
      </c>
      <c r="BY101" s="19">
        <v>7</v>
      </c>
      <c r="BZ101" s="19">
        <v>8</v>
      </c>
      <c r="CA101" s="19">
        <v>9</v>
      </c>
      <c r="CB101" s="19">
        <v>9</v>
      </c>
      <c r="CC101" s="19">
        <v>9</v>
      </c>
      <c r="CD101" s="3">
        <v>8</v>
      </c>
      <c r="CE101" s="19">
        <v>9</v>
      </c>
      <c r="CF101" s="3">
        <v>9</v>
      </c>
      <c r="CG101" s="19">
        <v>9</v>
      </c>
      <c r="CH101" s="3">
        <v>9</v>
      </c>
      <c r="CI101" s="3">
        <v>9</v>
      </c>
      <c r="CJ101" s="3">
        <v>9</v>
      </c>
      <c r="CK101" s="3">
        <v>9</v>
      </c>
      <c r="CL101" s="3">
        <v>9</v>
      </c>
      <c r="CM101" s="19">
        <v>9</v>
      </c>
      <c r="CN101" s="3"/>
      <c r="CO101" s="3"/>
      <c r="CP101" s="3"/>
      <c r="CT101" s="3">
        <v>9</v>
      </c>
      <c r="CU101" s="3">
        <v>9</v>
      </c>
      <c r="CV101" s="3">
        <v>9</v>
      </c>
      <c r="CW101" s="3">
        <v>9</v>
      </c>
      <c r="CX101" s="3">
        <v>5</v>
      </c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R101" s="3"/>
    </row>
    <row r="102" spans="1:142" ht="15" customHeight="1" x14ac:dyDescent="0.25">
      <c r="A102" s="6" t="s">
        <v>241</v>
      </c>
      <c r="B102" s="2" t="s">
        <v>784</v>
      </c>
      <c r="C102" s="2" t="s">
        <v>1105</v>
      </c>
      <c r="D102" s="25" t="s">
        <v>786</v>
      </c>
      <c r="E102" s="4" t="s">
        <v>787</v>
      </c>
      <c r="F102" s="4" t="s">
        <v>793</v>
      </c>
      <c r="G102" s="29"/>
      <c r="H102" s="4" t="s">
        <v>65</v>
      </c>
      <c r="I102" s="5"/>
      <c r="J102" s="4" t="s">
        <v>1065</v>
      </c>
      <c r="K102" s="4" t="s">
        <v>65</v>
      </c>
      <c r="M102" s="5"/>
      <c r="N102" s="2" t="s">
        <v>1106</v>
      </c>
      <c r="O102" s="28" t="s">
        <v>2446</v>
      </c>
      <c r="P102" s="3">
        <v>7</v>
      </c>
      <c r="Q102" s="27">
        <v>2</v>
      </c>
      <c r="R102" s="3"/>
      <c r="S102" s="3">
        <v>1</v>
      </c>
      <c r="T102" s="3"/>
      <c r="U102" s="3">
        <v>9</v>
      </c>
      <c r="V102" s="3">
        <v>2</v>
      </c>
      <c r="W102" s="3"/>
      <c r="X102" s="3"/>
      <c r="Y102" s="3">
        <v>4</v>
      </c>
      <c r="Z102" s="3">
        <v>2</v>
      </c>
      <c r="AA102" s="3">
        <v>1</v>
      </c>
      <c r="AB102" s="3">
        <v>1</v>
      </c>
      <c r="AC102" s="3"/>
      <c r="AD102" s="3">
        <v>2</v>
      </c>
      <c r="AE102" s="3">
        <v>3</v>
      </c>
      <c r="AF102" s="3">
        <v>2</v>
      </c>
      <c r="AG102" s="3">
        <v>1</v>
      </c>
      <c r="AH102" s="3">
        <v>1</v>
      </c>
      <c r="AI102" s="3"/>
      <c r="AJ102" s="3"/>
      <c r="AK102" s="3"/>
      <c r="AL102" s="3"/>
      <c r="AM102" s="3">
        <v>1</v>
      </c>
      <c r="AN102" s="3">
        <v>4</v>
      </c>
      <c r="AO102" s="3">
        <v>7</v>
      </c>
      <c r="AP102" s="3">
        <v>1</v>
      </c>
      <c r="AQ102" s="3">
        <v>6</v>
      </c>
      <c r="AR102" s="3">
        <v>4</v>
      </c>
      <c r="AS102" s="3">
        <v>1</v>
      </c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>
        <v>9</v>
      </c>
      <c r="BR102" s="3"/>
      <c r="BS102" s="3">
        <v>9</v>
      </c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R102" s="3"/>
    </row>
    <row r="103" spans="1:142" ht="15" customHeight="1" x14ac:dyDescent="0.25">
      <c r="A103" s="6" t="s">
        <v>242</v>
      </c>
      <c r="B103" s="2" t="s">
        <v>784</v>
      </c>
      <c r="C103" s="2" t="s">
        <v>1107</v>
      </c>
      <c r="D103" s="25" t="s">
        <v>786</v>
      </c>
      <c r="E103" s="4" t="s">
        <v>787</v>
      </c>
      <c r="F103" s="5"/>
      <c r="G103" s="29"/>
      <c r="H103" s="4" t="s">
        <v>94</v>
      </c>
      <c r="I103" s="5"/>
      <c r="J103" s="4" t="s">
        <v>1065</v>
      </c>
      <c r="K103" s="4" t="s">
        <v>1108</v>
      </c>
      <c r="M103" s="5"/>
      <c r="N103" s="2" t="s">
        <v>1109</v>
      </c>
      <c r="O103" s="28" t="s">
        <v>2447</v>
      </c>
      <c r="P103" s="3">
        <v>7</v>
      </c>
      <c r="Q103" s="27">
        <v>1</v>
      </c>
      <c r="R103" s="3"/>
      <c r="S103" s="3">
        <v>1</v>
      </c>
      <c r="T103" s="3">
        <v>3</v>
      </c>
      <c r="U103" s="3">
        <v>1</v>
      </c>
      <c r="V103" s="3">
        <v>2</v>
      </c>
      <c r="W103" s="3"/>
      <c r="X103" s="19">
        <v>7</v>
      </c>
      <c r="Y103" s="3">
        <v>3</v>
      </c>
      <c r="Z103" s="3">
        <v>2</v>
      </c>
      <c r="AA103" s="3">
        <v>1</v>
      </c>
      <c r="AB103" s="3">
        <v>1</v>
      </c>
      <c r="AC103" s="3"/>
      <c r="AD103" s="3">
        <v>2</v>
      </c>
      <c r="AE103" s="3">
        <v>7</v>
      </c>
      <c r="AF103" s="3">
        <v>1</v>
      </c>
      <c r="AG103" s="3">
        <v>0</v>
      </c>
      <c r="AH103" s="3">
        <v>0</v>
      </c>
      <c r="AI103" s="3"/>
      <c r="AJ103" s="3"/>
      <c r="AK103" s="3"/>
      <c r="AL103" s="3"/>
      <c r="AM103" s="3">
        <v>2</v>
      </c>
      <c r="AN103" s="3">
        <v>3</v>
      </c>
      <c r="AO103" s="3">
        <v>5</v>
      </c>
      <c r="AP103" s="3">
        <v>1</v>
      </c>
      <c r="AQ103" s="3">
        <v>6</v>
      </c>
      <c r="AR103" s="3">
        <v>5</v>
      </c>
      <c r="AS103" s="3">
        <v>4</v>
      </c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R103" s="3"/>
    </row>
    <row r="104" spans="1:142" ht="15" customHeight="1" x14ac:dyDescent="0.25">
      <c r="A104" s="6" t="s">
        <v>243</v>
      </c>
      <c r="B104" s="2" t="s">
        <v>784</v>
      </c>
      <c r="C104" s="2" t="s">
        <v>1110</v>
      </c>
      <c r="D104" s="25" t="s">
        <v>786</v>
      </c>
      <c r="E104" s="4" t="s">
        <v>787</v>
      </c>
      <c r="F104" s="4" t="s">
        <v>788</v>
      </c>
      <c r="G104" s="26">
        <v>1983</v>
      </c>
      <c r="H104" s="4" t="s">
        <v>100</v>
      </c>
      <c r="I104" s="4" t="s">
        <v>1111</v>
      </c>
      <c r="J104" s="4" t="s">
        <v>1065</v>
      </c>
      <c r="K104" s="4" t="s">
        <v>100</v>
      </c>
      <c r="L104" s="2" t="s">
        <v>802</v>
      </c>
      <c r="M104" s="5"/>
      <c r="N104" s="2" t="s">
        <v>1112</v>
      </c>
      <c r="O104" s="28" t="s">
        <v>2448</v>
      </c>
      <c r="P104" s="3">
        <v>7</v>
      </c>
      <c r="Q104" s="27">
        <v>1</v>
      </c>
      <c r="R104" s="3"/>
      <c r="S104" s="3">
        <v>1</v>
      </c>
      <c r="T104" s="3"/>
      <c r="U104" s="3">
        <v>1</v>
      </c>
      <c r="V104" s="3">
        <v>2</v>
      </c>
      <c r="W104" s="3"/>
      <c r="X104" s="19"/>
      <c r="Y104" s="3">
        <v>4</v>
      </c>
      <c r="Z104" s="3">
        <v>2</v>
      </c>
      <c r="AA104" s="3">
        <v>1</v>
      </c>
      <c r="AB104" s="3">
        <v>2</v>
      </c>
      <c r="AC104" s="3"/>
      <c r="AD104" s="3">
        <v>2</v>
      </c>
      <c r="AE104" s="3">
        <v>5</v>
      </c>
      <c r="AF104" s="3">
        <v>1</v>
      </c>
      <c r="AG104" s="3"/>
      <c r="AH104" s="3"/>
      <c r="AI104" s="3"/>
      <c r="AJ104" s="3"/>
      <c r="AK104" s="3"/>
      <c r="AL104" s="3"/>
      <c r="AM104" s="3">
        <v>3</v>
      </c>
      <c r="AN104" s="3">
        <v>2</v>
      </c>
      <c r="AO104" s="3">
        <v>5</v>
      </c>
      <c r="AP104" s="3">
        <v>1</v>
      </c>
      <c r="AQ104" s="3">
        <v>6</v>
      </c>
      <c r="AR104" s="3">
        <v>4</v>
      </c>
      <c r="AS104" s="3">
        <v>3</v>
      </c>
      <c r="AT104" s="3"/>
      <c r="AU104" s="3"/>
      <c r="AV104" s="3"/>
      <c r="AW104" s="3"/>
      <c r="AX104" s="3"/>
      <c r="AY104" s="3"/>
      <c r="AZ104" s="3"/>
      <c r="BA104" s="3">
        <v>1</v>
      </c>
      <c r="BB104" s="3">
        <v>1</v>
      </c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>
        <v>1</v>
      </c>
      <c r="BR104" s="3">
        <v>1</v>
      </c>
      <c r="BS104" s="3">
        <v>1</v>
      </c>
      <c r="BT104" s="3"/>
      <c r="BU104" s="3">
        <v>1</v>
      </c>
      <c r="BV104" s="19">
        <v>3</v>
      </c>
      <c r="BW104" s="19">
        <v>1</v>
      </c>
      <c r="BX104" s="19">
        <v>1</v>
      </c>
      <c r="BY104" s="3"/>
      <c r="BZ104" s="19">
        <v>9</v>
      </c>
      <c r="CA104" s="19">
        <v>6</v>
      </c>
      <c r="CB104" s="19">
        <v>7</v>
      </c>
      <c r="CC104" s="19">
        <v>9</v>
      </c>
      <c r="CD104" s="3">
        <v>9</v>
      </c>
      <c r="CE104" s="19">
        <v>2</v>
      </c>
      <c r="CF104" s="3">
        <v>9</v>
      </c>
      <c r="CG104" s="3"/>
      <c r="CH104" s="3">
        <v>9</v>
      </c>
      <c r="CI104" s="3">
        <v>9</v>
      </c>
      <c r="CJ104" s="3">
        <v>9</v>
      </c>
      <c r="CK104" s="3">
        <v>9</v>
      </c>
      <c r="CL104" s="3">
        <v>8</v>
      </c>
      <c r="CM104" s="3"/>
      <c r="CN104" s="3"/>
      <c r="CO104" s="3"/>
      <c r="CP104" s="3"/>
      <c r="CT104" s="3">
        <v>1</v>
      </c>
      <c r="CU104" s="3">
        <v>1</v>
      </c>
      <c r="CV104" s="3">
        <v>9</v>
      </c>
      <c r="CW104" s="3"/>
      <c r="CX104" s="3">
        <v>1</v>
      </c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R104" s="3"/>
    </row>
    <row r="105" spans="1:142" ht="15" customHeight="1" x14ac:dyDescent="0.25">
      <c r="A105" s="6" t="s">
        <v>244</v>
      </c>
      <c r="B105" s="2" t="s">
        <v>784</v>
      </c>
      <c r="C105" s="2" t="s">
        <v>1113</v>
      </c>
      <c r="D105" s="25" t="s">
        <v>786</v>
      </c>
      <c r="E105" s="4" t="s">
        <v>787</v>
      </c>
      <c r="F105" s="4" t="s">
        <v>822</v>
      </c>
      <c r="G105" s="29"/>
      <c r="H105" s="4" t="s">
        <v>104</v>
      </c>
      <c r="I105" s="5"/>
      <c r="J105" s="4" t="s">
        <v>1065</v>
      </c>
      <c r="K105" s="4" t="s">
        <v>1114</v>
      </c>
      <c r="M105" s="5"/>
      <c r="N105" s="2" t="s">
        <v>1115</v>
      </c>
      <c r="O105" s="28" t="s">
        <v>2449</v>
      </c>
      <c r="P105" s="3">
        <v>7</v>
      </c>
      <c r="Q105" s="27">
        <v>2</v>
      </c>
      <c r="R105" s="3"/>
      <c r="S105" s="3">
        <v>1</v>
      </c>
      <c r="T105" s="3"/>
      <c r="U105" s="3">
        <v>1</v>
      </c>
      <c r="V105" s="3">
        <v>2</v>
      </c>
      <c r="W105" s="3"/>
      <c r="X105" s="3"/>
      <c r="Y105" s="3">
        <v>7</v>
      </c>
      <c r="Z105" s="3">
        <v>2</v>
      </c>
      <c r="AA105" s="3">
        <v>1</v>
      </c>
      <c r="AB105" s="3">
        <v>2</v>
      </c>
      <c r="AC105" s="3"/>
      <c r="AD105" s="3">
        <v>2</v>
      </c>
      <c r="AE105" s="3">
        <v>5</v>
      </c>
      <c r="AF105" s="3">
        <v>1</v>
      </c>
      <c r="AG105" s="3">
        <v>0</v>
      </c>
      <c r="AH105" s="3">
        <v>0</v>
      </c>
      <c r="AI105" s="3"/>
      <c r="AJ105" s="3"/>
      <c r="AK105" s="3"/>
      <c r="AL105" s="3"/>
      <c r="AM105" s="3">
        <v>1</v>
      </c>
      <c r="AN105" s="3">
        <v>3</v>
      </c>
      <c r="AO105" s="3">
        <v>6</v>
      </c>
      <c r="AP105" s="3">
        <v>1</v>
      </c>
      <c r="AQ105" s="3">
        <v>6</v>
      </c>
      <c r="AR105" s="3">
        <v>5</v>
      </c>
      <c r="AS105" s="3">
        <v>4</v>
      </c>
      <c r="AT105" s="3"/>
      <c r="AU105" s="3"/>
      <c r="AV105" s="3"/>
      <c r="AW105" s="3"/>
      <c r="AX105" s="3"/>
      <c r="AY105" s="3"/>
      <c r="AZ105" s="3"/>
      <c r="BA105" s="3"/>
      <c r="BB105" s="3">
        <v>1</v>
      </c>
      <c r="BC105" s="3"/>
      <c r="BD105" s="3"/>
      <c r="BE105" s="3"/>
      <c r="BF105" s="3"/>
      <c r="BG105" s="3">
        <v>9</v>
      </c>
      <c r="BH105" s="3"/>
      <c r="BI105" s="3"/>
      <c r="BJ105" s="3"/>
      <c r="BK105" s="3"/>
      <c r="BL105" s="3"/>
      <c r="BM105" s="3"/>
      <c r="BN105" s="3">
        <v>1</v>
      </c>
      <c r="BO105" s="3"/>
      <c r="BP105" s="3">
        <v>8</v>
      </c>
      <c r="BQ105" s="3">
        <v>1</v>
      </c>
      <c r="BR105" s="3">
        <v>9</v>
      </c>
      <c r="BS105" s="3"/>
      <c r="BT105" s="19">
        <v>7</v>
      </c>
      <c r="BU105" s="3">
        <v>1</v>
      </c>
      <c r="BV105" s="19">
        <v>9</v>
      </c>
      <c r="BW105" s="19">
        <v>1</v>
      </c>
      <c r="BX105" s="19">
        <v>9</v>
      </c>
      <c r="BY105" s="19">
        <v>9</v>
      </c>
      <c r="BZ105" s="19">
        <v>7</v>
      </c>
      <c r="CA105" s="19">
        <v>9</v>
      </c>
      <c r="CB105" s="19">
        <v>9</v>
      </c>
      <c r="CC105" s="19">
        <v>9</v>
      </c>
      <c r="CD105" s="3">
        <v>7</v>
      </c>
      <c r="CE105" s="19">
        <v>9</v>
      </c>
      <c r="CF105" s="3">
        <v>9</v>
      </c>
      <c r="CG105" s="19">
        <v>9</v>
      </c>
      <c r="CH105" s="3">
        <v>9</v>
      </c>
      <c r="CI105" s="3">
        <v>9</v>
      </c>
      <c r="CJ105" s="3">
        <v>9</v>
      </c>
      <c r="CK105" s="3">
        <v>8</v>
      </c>
      <c r="CL105" s="3">
        <v>9</v>
      </c>
      <c r="CM105" s="3"/>
      <c r="CN105" s="3"/>
      <c r="CO105" s="3"/>
      <c r="CP105" s="3"/>
      <c r="CT105" s="3">
        <v>9</v>
      </c>
      <c r="CU105" s="3">
        <v>9</v>
      </c>
      <c r="CV105" s="3">
        <v>9</v>
      </c>
      <c r="CW105" s="3">
        <v>9</v>
      </c>
      <c r="CX105" s="3">
        <v>9</v>
      </c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R105" s="3"/>
    </row>
    <row r="106" spans="1:142" ht="15" customHeight="1" x14ac:dyDescent="0.25">
      <c r="A106" s="6" t="s">
        <v>245</v>
      </c>
      <c r="B106" s="2" t="s">
        <v>784</v>
      </c>
      <c r="C106" s="2" t="s">
        <v>1116</v>
      </c>
      <c r="D106" s="25" t="s">
        <v>786</v>
      </c>
      <c r="E106" s="4" t="s">
        <v>787</v>
      </c>
      <c r="F106" s="4" t="s">
        <v>793</v>
      </c>
      <c r="G106" s="29"/>
      <c r="H106" s="4" t="s">
        <v>110</v>
      </c>
      <c r="I106" s="5"/>
      <c r="J106" s="4" t="s">
        <v>1065</v>
      </c>
      <c r="K106" s="4" t="s">
        <v>110</v>
      </c>
      <c r="M106" s="5"/>
      <c r="N106" s="2" t="s">
        <v>1117</v>
      </c>
      <c r="O106" s="28" t="s">
        <v>2450</v>
      </c>
      <c r="P106" s="3">
        <v>7</v>
      </c>
      <c r="Q106" s="27">
        <v>1</v>
      </c>
      <c r="R106" s="3"/>
      <c r="S106" s="3">
        <v>2</v>
      </c>
      <c r="T106" s="3"/>
      <c r="U106" s="3">
        <v>9</v>
      </c>
      <c r="V106" s="3">
        <v>2</v>
      </c>
      <c r="W106" s="3"/>
      <c r="X106" s="3"/>
      <c r="Y106" s="3">
        <v>3</v>
      </c>
      <c r="Z106" s="3">
        <v>2</v>
      </c>
      <c r="AA106" s="3">
        <v>1</v>
      </c>
      <c r="AB106" s="3">
        <v>1</v>
      </c>
      <c r="AC106" s="3"/>
      <c r="AD106" s="3">
        <v>5</v>
      </c>
      <c r="AE106" s="3">
        <v>4</v>
      </c>
      <c r="AF106" s="3">
        <v>5</v>
      </c>
      <c r="AG106" s="3">
        <v>2</v>
      </c>
      <c r="AH106" s="3">
        <v>1</v>
      </c>
      <c r="AI106" s="3"/>
      <c r="AJ106" s="3"/>
      <c r="AK106" s="3"/>
      <c r="AL106" s="3"/>
      <c r="AM106" s="3">
        <v>3</v>
      </c>
      <c r="AN106" s="3">
        <v>2</v>
      </c>
      <c r="AO106" s="3">
        <v>5</v>
      </c>
      <c r="AP106" s="3">
        <v>1</v>
      </c>
      <c r="AQ106" s="3">
        <v>6</v>
      </c>
      <c r="AR106" s="3">
        <v>5</v>
      </c>
      <c r="AS106" s="3">
        <v>5</v>
      </c>
      <c r="AT106" s="3"/>
      <c r="AU106" s="3"/>
      <c r="AV106" s="3"/>
      <c r="AW106" s="3"/>
      <c r="AX106" s="3"/>
      <c r="AY106" s="3"/>
      <c r="AZ106" s="3"/>
      <c r="BA106" s="3">
        <v>1</v>
      </c>
      <c r="BB106" s="3">
        <v>9</v>
      </c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>
        <v>9</v>
      </c>
      <c r="BR106" s="3">
        <v>9</v>
      </c>
      <c r="BS106" s="3">
        <v>9</v>
      </c>
      <c r="BT106" s="3"/>
      <c r="BU106" s="3">
        <v>7</v>
      </c>
      <c r="BV106" s="19">
        <v>8</v>
      </c>
      <c r="BW106" s="19">
        <v>9</v>
      </c>
      <c r="BX106" s="19">
        <v>9</v>
      </c>
      <c r="BY106" s="3"/>
      <c r="BZ106" s="19">
        <v>9</v>
      </c>
      <c r="CA106" s="19">
        <v>9</v>
      </c>
      <c r="CB106" s="19">
        <v>9</v>
      </c>
      <c r="CC106" s="19">
        <v>9</v>
      </c>
      <c r="CD106" s="3">
        <v>9</v>
      </c>
      <c r="CE106" s="19">
        <v>9</v>
      </c>
      <c r="CF106" s="3">
        <v>8</v>
      </c>
      <c r="CG106" s="3"/>
      <c r="CH106" s="3">
        <v>9</v>
      </c>
      <c r="CI106" s="3">
        <v>9</v>
      </c>
      <c r="CJ106" s="3">
        <v>7</v>
      </c>
      <c r="CK106" s="3">
        <v>9</v>
      </c>
      <c r="CL106" s="3"/>
      <c r="CM106" s="19">
        <v>9</v>
      </c>
      <c r="CN106" s="3"/>
      <c r="CO106" s="3"/>
      <c r="CP106" s="3"/>
      <c r="CT106" s="3">
        <v>9</v>
      </c>
      <c r="CU106" s="3">
        <v>9</v>
      </c>
      <c r="CV106" s="3">
        <v>7</v>
      </c>
      <c r="CW106" s="3">
        <v>9</v>
      </c>
      <c r="CX106" s="3">
        <v>9</v>
      </c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R106" s="3"/>
      <c r="DS106" s="3"/>
      <c r="DT106" s="3"/>
    </row>
    <row r="107" spans="1:142" ht="15" customHeight="1" x14ac:dyDescent="0.25">
      <c r="A107" s="6" t="s">
        <v>246</v>
      </c>
      <c r="B107" s="2" t="s">
        <v>784</v>
      </c>
      <c r="C107" s="2" t="s">
        <v>1118</v>
      </c>
      <c r="D107" s="25" t="s">
        <v>786</v>
      </c>
      <c r="E107" s="4" t="s">
        <v>787</v>
      </c>
      <c r="F107" s="4" t="s">
        <v>788</v>
      </c>
      <c r="G107" s="26">
        <v>2001</v>
      </c>
      <c r="H107" s="4" t="s">
        <v>115</v>
      </c>
      <c r="I107" s="4" t="s">
        <v>1119</v>
      </c>
      <c r="J107" s="4" t="s">
        <v>1065</v>
      </c>
      <c r="K107" s="4" t="s">
        <v>1087</v>
      </c>
      <c r="L107" s="2" t="s">
        <v>802</v>
      </c>
      <c r="M107" s="5"/>
      <c r="N107" s="2" t="s">
        <v>1120</v>
      </c>
      <c r="O107" s="28" t="s">
        <v>2451</v>
      </c>
      <c r="P107" s="3">
        <v>7</v>
      </c>
      <c r="Q107" s="27">
        <v>1</v>
      </c>
      <c r="R107" s="3"/>
      <c r="S107" s="3">
        <v>1</v>
      </c>
      <c r="T107" s="3"/>
      <c r="U107" s="3">
        <v>1</v>
      </c>
      <c r="V107" s="3">
        <v>3</v>
      </c>
      <c r="W107" s="3"/>
      <c r="X107" s="19"/>
      <c r="Y107" s="3">
        <v>6</v>
      </c>
      <c r="Z107" s="3">
        <v>3</v>
      </c>
      <c r="AA107" s="3">
        <v>1</v>
      </c>
      <c r="AB107" s="3">
        <v>2</v>
      </c>
      <c r="AC107" s="3"/>
      <c r="AD107" s="3">
        <v>2</v>
      </c>
      <c r="AE107" s="3">
        <v>5</v>
      </c>
      <c r="AF107" s="3">
        <v>1</v>
      </c>
      <c r="AG107" s="3">
        <v>0</v>
      </c>
      <c r="AH107" s="3">
        <v>0</v>
      </c>
      <c r="AI107" s="3"/>
      <c r="AJ107" s="3"/>
      <c r="AK107" s="3"/>
      <c r="AL107" s="3"/>
      <c r="AM107" s="3">
        <v>3</v>
      </c>
      <c r="AN107" s="3">
        <v>3</v>
      </c>
      <c r="AO107" s="3">
        <v>5</v>
      </c>
      <c r="AP107" s="3">
        <v>1</v>
      </c>
      <c r="AQ107" s="3">
        <v>6</v>
      </c>
      <c r="AR107" s="3">
        <v>6</v>
      </c>
      <c r="AS107" s="3">
        <v>2</v>
      </c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R107" s="3"/>
    </row>
    <row r="108" spans="1:142" ht="15" customHeight="1" x14ac:dyDescent="0.25">
      <c r="A108" s="6" t="s">
        <v>247</v>
      </c>
      <c r="B108" s="2" t="s">
        <v>784</v>
      </c>
      <c r="C108" s="2" t="s">
        <v>1121</v>
      </c>
      <c r="D108" s="25" t="s">
        <v>786</v>
      </c>
      <c r="E108" s="4" t="s">
        <v>787</v>
      </c>
      <c r="F108" s="4" t="s">
        <v>822</v>
      </c>
      <c r="G108" s="26">
        <v>1987</v>
      </c>
      <c r="H108" s="4" t="s">
        <v>121</v>
      </c>
      <c r="I108" s="5"/>
      <c r="J108" s="4" t="s">
        <v>1065</v>
      </c>
      <c r="K108" s="4" t="s">
        <v>1114</v>
      </c>
      <c r="M108" s="4" t="s">
        <v>1122</v>
      </c>
      <c r="N108" s="2" t="s">
        <v>1123</v>
      </c>
      <c r="O108" s="28" t="s">
        <v>2452</v>
      </c>
      <c r="P108" s="3">
        <v>6</v>
      </c>
      <c r="Q108" s="27">
        <v>1</v>
      </c>
      <c r="R108" s="3"/>
      <c r="S108" s="3">
        <v>1</v>
      </c>
      <c r="T108" s="3"/>
      <c r="U108" s="3">
        <v>1</v>
      </c>
      <c r="V108" s="3">
        <v>3</v>
      </c>
      <c r="W108" s="3"/>
      <c r="X108" s="3"/>
      <c r="Y108" s="3">
        <v>7</v>
      </c>
      <c r="Z108" s="3">
        <v>3</v>
      </c>
      <c r="AA108" s="3">
        <v>1</v>
      </c>
      <c r="AB108" s="3">
        <v>2</v>
      </c>
      <c r="AC108" s="3"/>
      <c r="AD108" s="3">
        <v>2</v>
      </c>
      <c r="AE108" s="3">
        <v>6</v>
      </c>
      <c r="AF108" s="3">
        <v>1</v>
      </c>
      <c r="AG108" s="3">
        <v>0</v>
      </c>
      <c r="AH108" s="3">
        <v>0</v>
      </c>
      <c r="AI108" s="3"/>
      <c r="AJ108" s="3"/>
      <c r="AK108" s="3"/>
      <c r="AL108" s="3"/>
      <c r="AM108" s="3">
        <v>1</v>
      </c>
      <c r="AN108" s="3">
        <v>1</v>
      </c>
      <c r="AO108" s="3">
        <v>5</v>
      </c>
      <c r="AP108" s="3">
        <v>1</v>
      </c>
      <c r="AQ108" s="3">
        <v>6</v>
      </c>
      <c r="AR108" s="3">
        <v>5</v>
      </c>
      <c r="AS108" s="3">
        <v>2</v>
      </c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R108" s="3"/>
    </row>
    <row r="109" spans="1:142" ht="15" customHeight="1" x14ac:dyDescent="0.25">
      <c r="A109" s="6" t="s">
        <v>248</v>
      </c>
      <c r="B109" s="2" t="s">
        <v>784</v>
      </c>
      <c r="C109" s="2" t="s">
        <v>1124</v>
      </c>
      <c r="D109" s="25" t="s">
        <v>786</v>
      </c>
      <c r="E109" s="4" t="s">
        <v>787</v>
      </c>
      <c r="F109" s="4" t="s">
        <v>809</v>
      </c>
      <c r="G109" s="29"/>
      <c r="H109" s="4" t="s">
        <v>14</v>
      </c>
      <c r="I109" s="5"/>
      <c r="J109" s="4" t="s">
        <v>1125</v>
      </c>
      <c r="K109" s="4" t="s">
        <v>1126</v>
      </c>
      <c r="M109" s="5"/>
      <c r="N109" s="2" t="s">
        <v>1127</v>
      </c>
      <c r="O109" s="28" t="s">
        <v>2453</v>
      </c>
      <c r="P109" s="3">
        <v>7</v>
      </c>
      <c r="Q109" s="27">
        <v>1</v>
      </c>
      <c r="R109" s="3"/>
      <c r="S109" s="3">
        <v>2</v>
      </c>
      <c r="T109" s="3"/>
      <c r="U109" s="3">
        <v>1</v>
      </c>
      <c r="V109" s="3">
        <v>7</v>
      </c>
      <c r="W109" s="3"/>
      <c r="X109" s="3"/>
      <c r="Y109" s="3">
        <v>5</v>
      </c>
      <c r="Z109" s="3">
        <v>6</v>
      </c>
      <c r="AA109" s="3">
        <v>1</v>
      </c>
      <c r="AB109" s="3">
        <v>7</v>
      </c>
      <c r="AC109" s="3"/>
      <c r="AD109" s="3">
        <v>2</v>
      </c>
      <c r="AE109" s="3">
        <v>4</v>
      </c>
      <c r="AF109" s="3">
        <v>1</v>
      </c>
      <c r="AG109" s="3">
        <v>0</v>
      </c>
      <c r="AH109" s="3">
        <v>0</v>
      </c>
      <c r="AI109" s="3"/>
      <c r="AJ109" s="3"/>
      <c r="AK109" s="3"/>
      <c r="AL109" s="3"/>
      <c r="AM109" s="3">
        <v>4</v>
      </c>
      <c r="AN109" s="3">
        <v>3</v>
      </c>
      <c r="AO109" s="3">
        <v>6</v>
      </c>
      <c r="AP109" s="3">
        <v>0</v>
      </c>
      <c r="AQ109" s="3">
        <v>1</v>
      </c>
      <c r="AR109" s="3">
        <v>5</v>
      </c>
      <c r="AS109" s="3">
        <v>1</v>
      </c>
      <c r="AT109" s="3"/>
      <c r="AU109" s="3"/>
      <c r="AV109" s="3"/>
      <c r="AW109" s="3"/>
      <c r="AX109" s="3">
        <v>1</v>
      </c>
      <c r="AY109" s="3"/>
      <c r="AZ109" s="3"/>
      <c r="BA109" s="3">
        <v>1</v>
      </c>
      <c r="BB109" s="3">
        <v>1</v>
      </c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>
        <v>8</v>
      </c>
      <c r="BR109" s="3">
        <v>9</v>
      </c>
      <c r="BS109" s="3">
        <v>9</v>
      </c>
      <c r="BT109" s="19">
        <v>9</v>
      </c>
      <c r="BU109" s="3">
        <v>1</v>
      </c>
      <c r="BV109" s="19">
        <v>9</v>
      </c>
      <c r="BW109" s="19">
        <v>9</v>
      </c>
      <c r="BX109" s="19">
        <v>9</v>
      </c>
      <c r="BY109" s="19">
        <v>9</v>
      </c>
      <c r="BZ109" s="19">
        <v>9</v>
      </c>
      <c r="CA109" s="19">
        <v>9</v>
      </c>
      <c r="CB109" s="19">
        <v>9</v>
      </c>
      <c r="CC109" s="19">
        <v>9</v>
      </c>
      <c r="CD109" s="3">
        <v>9</v>
      </c>
      <c r="CE109" s="19">
        <v>9</v>
      </c>
      <c r="CF109" s="3">
        <v>9</v>
      </c>
      <c r="CG109" s="19">
        <v>9</v>
      </c>
      <c r="CH109" s="3">
        <v>9</v>
      </c>
      <c r="CI109" s="3">
        <v>9</v>
      </c>
      <c r="CJ109" s="3">
        <v>9</v>
      </c>
      <c r="CK109" s="3">
        <v>7</v>
      </c>
      <c r="CL109" s="3">
        <v>9</v>
      </c>
      <c r="CM109" s="3"/>
      <c r="CN109" s="3"/>
      <c r="CO109" s="3"/>
      <c r="CP109" s="3"/>
      <c r="CT109" s="3">
        <v>5</v>
      </c>
      <c r="CU109" s="3">
        <v>9</v>
      </c>
      <c r="CV109" s="3">
        <v>9</v>
      </c>
      <c r="CW109" s="3"/>
      <c r="CX109" s="3">
        <v>7</v>
      </c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R109" s="3"/>
    </row>
    <row r="110" spans="1:142" ht="15" customHeight="1" x14ac:dyDescent="0.25">
      <c r="A110" s="6" t="s">
        <v>249</v>
      </c>
      <c r="B110" s="2" t="s">
        <v>784</v>
      </c>
      <c r="C110" s="2" t="s">
        <v>1128</v>
      </c>
      <c r="D110" s="25" t="s">
        <v>786</v>
      </c>
      <c r="E110" s="4" t="s">
        <v>946</v>
      </c>
      <c r="F110" s="4" t="s">
        <v>1068</v>
      </c>
      <c r="G110" s="26">
        <v>1962</v>
      </c>
      <c r="H110" s="4" t="s">
        <v>22</v>
      </c>
      <c r="I110" s="5"/>
      <c r="J110" s="4" t="s">
        <v>1125</v>
      </c>
      <c r="K110" s="4" t="s">
        <v>1129</v>
      </c>
      <c r="M110" s="5"/>
      <c r="N110" s="2" t="s">
        <v>1130</v>
      </c>
      <c r="O110" s="28" t="s">
        <v>2454</v>
      </c>
      <c r="P110" s="3">
        <v>7</v>
      </c>
      <c r="Q110" s="27">
        <v>2</v>
      </c>
      <c r="R110" s="3"/>
      <c r="S110" s="3">
        <v>2</v>
      </c>
      <c r="T110" s="3"/>
      <c r="U110" s="3">
        <v>1</v>
      </c>
      <c r="V110" s="3">
        <v>7</v>
      </c>
      <c r="W110" s="3"/>
      <c r="X110" s="3"/>
      <c r="Y110" s="3">
        <v>8</v>
      </c>
      <c r="Z110" s="3">
        <v>8</v>
      </c>
      <c r="AA110" s="3"/>
      <c r="AB110" s="3">
        <v>2</v>
      </c>
      <c r="AC110" s="3"/>
      <c r="AD110" s="3">
        <v>1</v>
      </c>
      <c r="AE110" s="3">
        <v>5</v>
      </c>
      <c r="AF110" s="3">
        <v>1</v>
      </c>
      <c r="AG110" s="3">
        <v>0</v>
      </c>
      <c r="AH110" s="3">
        <v>0</v>
      </c>
      <c r="AI110" s="3"/>
      <c r="AJ110" s="3"/>
      <c r="AK110" s="3"/>
      <c r="AL110" s="3"/>
      <c r="AM110" s="3"/>
      <c r="AN110" s="3">
        <v>3</v>
      </c>
      <c r="AO110" s="3">
        <v>5</v>
      </c>
      <c r="AP110" s="3">
        <v>0</v>
      </c>
      <c r="AQ110" s="3">
        <v>1</v>
      </c>
      <c r="AR110" s="3">
        <v>4</v>
      </c>
      <c r="AS110" s="3">
        <v>1</v>
      </c>
      <c r="AT110" s="3"/>
      <c r="AU110" s="3"/>
      <c r="AV110" s="3"/>
      <c r="AW110" s="3"/>
      <c r="AX110" s="3"/>
      <c r="AY110" s="3"/>
      <c r="AZ110" s="3"/>
      <c r="BA110" s="3">
        <v>1</v>
      </c>
      <c r="BB110" s="3">
        <v>1</v>
      </c>
      <c r="BC110" s="3">
        <v>102</v>
      </c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>
        <v>2</v>
      </c>
      <c r="BO110" s="3"/>
      <c r="BP110" s="3"/>
      <c r="BQ110" s="3">
        <v>8</v>
      </c>
      <c r="BR110" s="3">
        <v>9</v>
      </c>
      <c r="BS110" s="3">
        <v>9</v>
      </c>
      <c r="BT110" s="19">
        <v>7</v>
      </c>
      <c r="BU110" s="3">
        <v>7</v>
      </c>
      <c r="BV110" s="19">
        <v>9</v>
      </c>
      <c r="BW110" s="19">
        <v>9</v>
      </c>
      <c r="BX110" s="19">
        <v>5</v>
      </c>
      <c r="BY110" s="19">
        <v>9</v>
      </c>
      <c r="BZ110" s="19">
        <v>9</v>
      </c>
      <c r="CA110" s="19">
        <v>9</v>
      </c>
      <c r="CB110" s="19">
        <v>9</v>
      </c>
      <c r="CC110" s="19">
        <v>9</v>
      </c>
      <c r="CD110" s="3">
        <v>7</v>
      </c>
      <c r="CE110" s="19">
        <v>9</v>
      </c>
      <c r="CF110" s="3">
        <v>9</v>
      </c>
      <c r="CG110" s="19">
        <v>9</v>
      </c>
      <c r="CH110" s="3">
        <v>4</v>
      </c>
      <c r="CI110" s="3">
        <v>9</v>
      </c>
      <c r="CJ110" s="3">
        <v>9</v>
      </c>
      <c r="CK110" s="3">
        <v>8</v>
      </c>
      <c r="CL110" s="3">
        <v>9</v>
      </c>
      <c r="CM110" s="3"/>
      <c r="CN110" s="3"/>
      <c r="CO110" s="3"/>
      <c r="CP110" s="3"/>
      <c r="CT110" s="3">
        <v>5</v>
      </c>
      <c r="CU110" s="3">
        <v>9</v>
      </c>
      <c r="CV110" s="3">
        <v>7</v>
      </c>
      <c r="CW110" s="3">
        <v>9</v>
      </c>
      <c r="CX110" s="3">
        <v>9</v>
      </c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R110" s="3"/>
    </row>
    <row r="111" spans="1:142" ht="15" customHeight="1" x14ac:dyDescent="0.25">
      <c r="A111" s="6" t="s">
        <v>250</v>
      </c>
      <c r="B111" s="2" t="s">
        <v>784</v>
      </c>
      <c r="C111" s="2" t="s">
        <v>1131</v>
      </c>
      <c r="D111" s="25" t="s">
        <v>786</v>
      </c>
      <c r="E111" s="4" t="s">
        <v>787</v>
      </c>
      <c r="F111" s="4" t="s">
        <v>1132</v>
      </c>
      <c r="G111" s="29"/>
      <c r="H111" s="4" t="s">
        <v>34</v>
      </c>
      <c r="I111" s="4" t="s">
        <v>1133</v>
      </c>
      <c r="J111" s="4" t="s">
        <v>1125</v>
      </c>
      <c r="M111" s="5"/>
      <c r="N111" s="2" t="s">
        <v>1134</v>
      </c>
      <c r="O111" s="28" t="s">
        <v>2455</v>
      </c>
      <c r="P111" s="3">
        <v>7</v>
      </c>
      <c r="Q111" s="27">
        <v>1</v>
      </c>
      <c r="R111" s="19">
        <v>6</v>
      </c>
      <c r="S111" s="3">
        <v>1</v>
      </c>
      <c r="T111" s="3">
        <v>3</v>
      </c>
      <c r="U111" s="3">
        <v>1</v>
      </c>
      <c r="V111" s="3">
        <v>7</v>
      </c>
      <c r="W111" s="3"/>
      <c r="X111" s="3"/>
      <c r="Y111" s="3">
        <v>6</v>
      </c>
      <c r="Z111" s="3">
        <v>6</v>
      </c>
      <c r="AA111" s="3">
        <v>2</v>
      </c>
      <c r="AB111" s="3">
        <v>2</v>
      </c>
      <c r="AC111" s="3"/>
      <c r="AD111" s="3">
        <v>2</v>
      </c>
      <c r="AE111" s="3">
        <v>5</v>
      </c>
      <c r="AF111" s="3">
        <v>1</v>
      </c>
      <c r="AG111" s="3"/>
      <c r="AH111" s="3"/>
      <c r="AI111" s="3"/>
      <c r="AJ111" s="3"/>
      <c r="AK111" s="3"/>
      <c r="AL111" s="3"/>
      <c r="AM111" s="3">
        <v>2</v>
      </c>
      <c r="AN111" s="3"/>
      <c r="AO111" s="3">
        <v>6</v>
      </c>
      <c r="AP111" s="3">
        <v>2</v>
      </c>
      <c r="AQ111" s="3">
        <v>4</v>
      </c>
      <c r="AR111" s="3">
        <v>5</v>
      </c>
      <c r="AS111" s="3">
        <v>2</v>
      </c>
      <c r="AT111" s="3"/>
      <c r="AU111" s="3"/>
      <c r="AV111" s="3"/>
      <c r="AW111" s="3"/>
      <c r="AX111" s="3"/>
      <c r="AY111" s="3"/>
      <c r="AZ111" s="3"/>
      <c r="BA111" s="3"/>
      <c r="BB111" s="3">
        <v>1</v>
      </c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>
        <v>9</v>
      </c>
      <c r="BS111" s="3">
        <v>9</v>
      </c>
      <c r="BT111" s="19">
        <v>9</v>
      </c>
      <c r="BU111" s="3">
        <v>6</v>
      </c>
      <c r="BV111" s="19">
        <v>9</v>
      </c>
      <c r="BW111" s="19">
        <v>9</v>
      </c>
      <c r="BX111" s="19">
        <v>9</v>
      </c>
      <c r="BY111" s="19">
        <v>9</v>
      </c>
      <c r="BZ111" s="19">
        <v>9</v>
      </c>
      <c r="CA111" s="19">
        <v>7</v>
      </c>
      <c r="CB111" s="19">
        <v>9</v>
      </c>
      <c r="CC111" s="19">
        <v>8</v>
      </c>
      <c r="CD111" s="3">
        <v>7</v>
      </c>
      <c r="CE111" s="19">
        <v>9</v>
      </c>
      <c r="CF111" s="3">
        <v>7</v>
      </c>
      <c r="CG111" s="19">
        <v>9</v>
      </c>
      <c r="CH111" s="3">
        <v>9</v>
      </c>
      <c r="CI111" s="3">
        <v>9</v>
      </c>
      <c r="CJ111" s="3">
        <v>9</v>
      </c>
      <c r="CK111" s="3">
        <v>9</v>
      </c>
      <c r="CL111" s="3">
        <v>8</v>
      </c>
      <c r="CM111" s="3"/>
      <c r="CN111" s="3"/>
      <c r="CO111" s="3"/>
      <c r="CP111" s="3"/>
      <c r="CT111" s="3">
        <v>9</v>
      </c>
      <c r="CU111" s="3">
        <v>9</v>
      </c>
      <c r="CV111" s="3">
        <v>7</v>
      </c>
      <c r="CW111" s="3">
        <v>9</v>
      </c>
      <c r="CX111" s="3">
        <v>9</v>
      </c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R111" s="3"/>
    </row>
    <row r="112" spans="1:142" ht="15" customHeight="1" x14ac:dyDescent="0.25">
      <c r="A112" s="6" t="s">
        <v>251</v>
      </c>
      <c r="B112" s="2" t="s">
        <v>784</v>
      </c>
      <c r="C112" s="2" t="s">
        <v>1135</v>
      </c>
      <c r="D112" s="25" t="s">
        <v>786</v>
      </c>
      <c r="E112" s="4" t="s">
        <v>787</v>
      </c>
      <c r="F112" s="4" t="s">
        <v>822</v>
      </c>
      <c r="G112" s="29"/>
      <c r="H112" s="4" t="s">
        <v>0</v>
      </c>
      <c r="I112" s="5"/>
      <c r="J112" s="4" t="s">
        <v>1125</v>
      </c>
      <c r="K112" s="4" t="s">
        <v>0</v>
      </c>
      <c r="M112" s="5"/>
      <c r="N112" s="2" t="s">
        <v>1136</v>
      </c>
      <c r="O112" s="28" t="s">
        <v>2456</v>
      </c>
      <c r="P112" s="3">
        <v>7</v>
      </c>
      <c r="Q112" s="27">
        <v>2</v>
      </c>
      <c r="R112" s="3"/>
      <c r="S112" s="3">
        <v>2</v>
      </c>
      <c r="T112" s="3">
        <v>2</v>
      </c>
      <c r="U112" s="3">
        <v>1</v>
      </c>
      <c r="V112" s="3">
        <v>5</v>
      </c>
      <c r="W112" s="3"/>
      <c r="X112" s="19"/>
      <c r="Y112" s="3">
        <v>5</v>
      </c>
      <c r="Z112" s="3">
        <v>6</v>
      </c>
      <c r="AA112" s="3">
        <v>1</v>
      </c>
      <c r="AB112" s="3">
        <v>7</v>
      </c>
      <c r="AC112" s="3"/>
      <c r="AD112" s="3">
        <v>1</v>
      </c>
      <c r="AE112" s="3">
        <v>5</v>
      </c>
      <c r="AF112" s="3">
        <v>1</v>
      </c>
      <c r="AG112" s="3">
        <v>0</v>
      </c>
      <c r="AH112" s="3">
        <v>0</v>
      </c>
      <c r="AI112" s="3"/>
      <c r="AJ112" s="3"/>
      <c r="AK112" s="3"/>
      <c r="AL112" s="3"/>
      <c r="AM112" s="3">
        <v>2</v>
      </c>
      <c r="AN112" s="3">
        <v>2</v>
      </c>
      <c r="AO112" s="3">
        <v>6</v>
      </c>
      <c r="AP112" s="3">
        <v>0</v>
      </c>
      <c r="AQ112" s="3">
        <v>1</v>
      </c>
      <c r="AR112" s="3">
        <v>4</v>
      </c>
      <c r="AS112" s="3">
        <v>1</v>
      </c>
      <c r="AT112" s="3"/>
      <c r="AU112" s="3"/>
      <c r="AV112" s="3"/>
      <c r="AW112" s="3"/>
      <c r="AX112" s="3"/>
      <c r="AY112" s="3"/>
      <c r="AZ112" s="3"/>
      <c r="BA112" s="3"/>
      <c r="BB112" s="3">
        <v>1</v>
      </c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>
        <v>9</v>
      </c>
      <c r="BR112" s="3"/>
      <c r="BS112" s="3">
        <v>9</v>
      </c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R112" s="3"/>
      <c r="EE112" s="3"/>
      <c r="EF112" s="3"/>
      <c r="EG112" s="3"/>
      <c r="EH112" s="3"/>
      <c r="EI112" s="3"/>
      <c r="EJ112" s="3"/>
      <c r="EK112" s="3"/>
      <c r="EL112" s="3"/>
    </row>
    <row r="113" spans="1:142" ht="15" customHeight="1" x14ac:dyDescent="0.25">
      <c r="A113" s="6" t="s">
        <v>252</v>
      </c>
      <c r="B113" s="2" t="s">
        <v>784</v>
      </c>
      <c r="C113" s="2" t="s">
        <v>1137</v>
      </c>
      <c r="D113" s="25" t="s">
        <v>786</v>
      </c>
      <c r="E113" s="4" t="s">
        <v>787</v>
      </c>
      <c r="F113" s="5"/>
      <c r="G113" s="26">
        <v>1879</v>
      </c>
      <c r="H113" s="4" t="s">
        <v>1</v>
      </c>
      <c r="I113" s="5"/>
      <c r="J113" s="4" t="s">
        <v>1125</v>
      </c>
      <c r="K113" s="4" t="s">
        <v>1138</v>
      </c>
      <c r="M113" s="5"/>
      <c r="N113" s="2" t="s">
        <v>1139</v>
      </c>
      <c r="O113" s="28" t="s">
        <v>2457</v>
      </c>
      <c r="P113" s="3">
        <v>7</v>
      </c>
      <c r="Q113" s="27">
        <v>1</v>
      </c>
      <c r="R113" s="3"/>
      <c r="S113" s="3">
        <v>2</v>
      </c>
      <c r="T113" s="3"/>
      <c r="U113" s="3">
        <v>9</v>
      </c>
      <c r="V113" s="3">
        <v>5</v>
      </c>
      <c r="W113" s="3"/>
      <c r="X113" s="3"/>
      <c r="Y113" s="3">
        <v>8</v>
      </c>
      <c r="Z113" s="3">
        <v>4</v>
      </c>
      <c r="AA113" s="3"/>
      <c r="AB113" s="3">
        <v>2</v>
      </c>
      <c r="AC113" s="3"/>
      <c r="AD113" s="3">
        <v>5</v>
      </c>
      <c r="AE113" s="3">
        <v>3</v>
      </c>
      <c r="AF113" s="3">
        <v>5</v>
      </c>
      <c r="AG113" s="3">
        <v>2</v>
      </c>
      <c r="AH113" s="3">
        <v>1</v>
      </c>
      <c r="AI113" s="3"/>
      <c r="AJ113" s="3"/>
      <c r="AK113" s="3"/>
      <c r="AL113" s="3"/>
      <c r="AM113" s="3">
        <v>1</v>
      </c>
      <c r="AN113" s="3">
        <v>1</v>
      </c>
      <c r="AO113" s="3">
        <v>6</v>
      </c>
      <c r="AP113" s="3">
        <v>1</v>
      </c>
      <c r="AQ113" s="3"/>
      <c r="AR113" s="3">
        <v>4</v>
      </c>
      <c r="AS113" s="3">
        <v>2</v>
      </c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>
        <v>9</v>
      </c>
      <c r="BR113" s="3">
        <v>9</v>
      </c>
      <c r="BS113" s="3">
        <v>9</v>
      </c>
      <c r="BT113" s="19">
        <v>5</v>
      </c>
      <c r="BU113" s="3">
        <v>5</v>
      </c>
      <c r="BV113" s="19">
        <v>9</v>
      </c>
      <c r="BW113" s="19">
        <v>8</v>
      </c>
      <c r="BX113" s="19">
        <v>5</v>
      </c>
      <c r="BY113" s="19">
        <v>9</v>
      </c>
      <c r="BZ113" s="19">
        <v>9</v>
      </c>
      <c r="CA113" s="19">
        <v>7</v>
      </c>
      <c r="CB113" s="19">
        <v>9</v>
      </c>
      <c r="CC113" s="19">
        <v>9</v>
      </c>
      <c r="CD113" s="3">
        <v>7</v>
      </c>
      <c r="CE113" s="19">
        <v>9</v>
      </c>
      <c r="CF113" s="3">
        <v>9</v>
      </c>
      <c r="CG113" s="19">
        <v>9</v>
      </c>
      <c r="CH113" s="3">
        <v>9</v>
      </c>
      <c r="CI113" s="3">
        <v>9</v>
      </c>
      <c r="CJ113" s="3">
        <v>9</v>
      </c>
      <c r="CK113" s="3">
        <v>9</v>
      </c>
      <c r="CL113" s="3">
        <v>9</v>
      </c>
      <c r="CM113" s="3"/>
      <c r="CN113" s="3"/>
      <c r="CO113" s="3"/>
      <c r="CP113" s="3"/>
      <c r="CT113" s="3">
        <v>9</v>
      </c>
      <c r="CU113" s="3">
        <v>9</v>
      </c>
      <c r="CV113" s="3">
        <v>9</v>
      </c>
      <c r="CW113" s="3">
        <v>9</v>
      </c>
      <c r="CX113" s="3">
        <v>9</v>
      </c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R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</row>
    <row r="114" spans="1:142" ht="15" customHeight="1" x14ac:dyDescent="0.25">
      <c r="A114" s="6" t="s">
        <v>253</v>
      </c>
      <c r="B114" s="2" t="s">
        <v>784</v>
      </c>
      <c r="C114" s="2" t="s">
        <v>1140</v>
      </c>
      <c r="D114" s="25" t="s">
        <v>786</v>
      </c>
      <c r="E114" s="4" t="s">
        <v>787</v>
      </c>
      <c r="F114" s="4" t="s">
        <v>813</v>
      </c>
      <c r="G114" s="29"/>
      <c r="H114" s="4" t="s">
        <v>72</v>
      </c>
      <c r="I114" s="5"/>
      <c r="J114" s="4" t="s">
        <v>1125</v>
      </c>
      <c r="K114" s="4" t="s">
        <v>72</v>
      </c>
      <c r="M114" s="5"/>
      <c r="N114" s="2" t="s">
        <v>1141</v>
      </c>
      <c r="O114" s="28" t="s">
        <v>2458</v>
      </c>
      <c r="P114" s="3">
        <v>7</v>
      </c>
      <c r="Q114" s="27">
        <v>2</v>
      </c>
      <c r="R114" s="3"/>
      <c r="S114" s="3">
        <v>2</v>
      </c>
      <c r="T114" s="3">
        <v>3</v>
      </c>
      <c r="U114" s="3">
        <v>1</v>
      </c>
      <c r="V114" s="3">
        <v>9</v>
      </c>
      <c r="W114" s="3"/>
      <c r="X114" s="3"/>
      <c r="Y114" s="3">
        <v>4</v>
      </c>
      <c r="Z114" s="3">
        <v>3</v>
      </c>
      <c r="AA114" s="3">
        <v>1</v>
      </c>
      <c r="AB114" s="3">
        <v>8</v>
      </c>
      <c r="AC114" s="3"/>
      <c r="AD114" s="3">
        <v>2</v>
      </c>
      <c r="AE114" s="3">
        <v>6</v>
      </c>
      <c r="AF114" s="3">
        <v>1</v>
      </c>
      <c r="AG114" s="3">
        <v>0</v>
      </c>
      <c r="AH114" s="3">
        <v>0</v>
      </c>
      <c r="AI114" s="3"/>
      <c r="AJ114" s="3"/>
      <c r="AK114" s="3"/>
      <c r="AL114" s="3"/>
      <c r="AM114" s="3">
        <v>1</v>
      </c>
      <c r="AN114" s="3"/>
      <c r="AO114" s="3">
        <v>7</v>
      </c>
      <c r="AP114" s="3">
        <v>0</v>
      </c>
      <c r="AQ114" s="3">
        <v>1</v>
      </c>
      <c r="AR114" s="3">
        <v>5</v>
      </c>
      <c r="AS114" s="3">
        <v>1</v>
      </c>
      <c r="AT114" s="3"/>
      <c r="AU114" s="3"/>
      <c r="AV114" s="3"/>
      <c r="AW114" s="3"/>
      <c r="AX114" s="3"/>
      <c r="AY114" s="3"/>
      <c r="AZ114" s="3"/>
      <c r="BA114" s="3"/>
      <c r="BB114" s="3">
        <v>1</v>
      </c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>
        <v>9</v>
      </c>
      <c r="BR114" s="3">
        <v>8</v>
      </c>
      <c r="BS114" s="3"/>
      <c r="BT114" s="19">
        <v>8</v>
      </c>
      <c r="BU114" s="3">
        <v>6</v>
      </c>
      <c r="BV114" s="19">
        <v>9</v>
      </c>
      <c r="BW114" s="19">
        <v>9</v>
      </c>
      <c r="BX114" s="19">
        <v>8</v>
      </c>
      <c r="BY114" s="19">
        <v>9</v>
      </c>
      <c r="BZ114" s="19">
        <v>9</v>
      </c>
      <c r="CA114" s="19">
        <v>8</v>
      </c>
      <c r="CB114" s="19">
        <v>9</v>
      </c>
      <c r="CC114" s="19">
        <v>7</v>
      </c>
      <c r="CD114" s="3">
        <v>8</v>
      </c>
      <c r="CE114" s="19">
        <v>9</v>
      </c>
      <c r="CF114" s="3">
        <v>8</v>
      </c>
      <c r="CG114" s="19">
        <v>9</v>
      </c>
      <c r="CH114" s="3">
        <v>8</v>
      </c>
      <c r="CI114" s="3">
        <v>9</v>
      </c>
      <c r="CJ114" s="3">
        <v>9</v>
      </c>
      <c r="CK114" s="3">
        <v>9</v>
      </c>
      <c r="CL114" s="3">
        <v>9</v>
      </c>
      <c r="CM114" s="3"/>
      <c r="CN114" s="3"/>
      <c r="CO114" s="3"/>
      <c r="CP114" s="3"/>
      <c r="CT114" s="3">
        <v>8</v>
      </c>
      <c r="CU114" s="3">
        <v>9</v>
      </c>
      <c r="CV114" s="3">
        <v>6</v>
      </c>
      <c r="CW114" s="3">
        <v>8</v>
      </c>
      <c r="CX114" s="3">
        <v>1</v>
      </c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R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</row>
    <row r="115" spans="1:142" ht="15" customHeight="1" x14ac:dyDescent="0.25">
      <c r="A115" s="6" t="s">
        <v>254</v>
      </c>
      <c r="B115" s="2" t="s">
        <v>784</v>
      </c>
      <c r="C115" s="2" t="s">
        <v>1142</v>
      </c>
      <c r="D115" s="25" t="s">
        <v>786</v>
      </c>
      <c r="E115" s="5"/>
      <c r="F115" s="4" t="s">
        <v>1014</v>
      </c>
      <c r="G115" s="29"/>
      <c r="H115" s="4" t="s">
        <v>82</v>
      </c>
      <c r="I115" s="5"/>
      <c r="J115" s="4" t="s">
        <v>1125</v>
      </c>
      <c r="K115" s="4" t="s">
        <v>987</v>
      </c>
      <c r="M115" s="5"/>
      <c r="N115" s="2" t="s">
        <v>1143</v>
      </c>
      <c r="O115" s="28" t="s">
        <v>2459</v>
      </c>
      <c r="P115" s="3">
        <v>6</v>
      </c>
      <c r="Q115" s="27">
        <v>1</v>
      </c>
      <c r="R115" s="3"/>
      <c r="S115" s="3">
        <v>2</v>
      </c>
      <c r="T115" s="3"/>
      <c r="U115" s="3"/>
      <c r="V115" s="3">
        <v>5</v>
      </c>
      <c r="W115" s="3"/>
      <c r="X115" s="3"/>
      <c r="Y115" s="3">
        <v>8</v>
      </c>
      <c r="Z115" s="3">
        <v>6</v>
      </c>
      <c r="AA115" s="3">
        <v>2</v>
      </c>
      <c r="AB115" s="3">
        <v>2</v>
      </c>
      <c r="AC115" s="3"/>
      <c r="AD115" s="3">
        <v>1</v>
      </c>
      <c r="AE115" s="3">
        <v>4</v>
      </c>
      <c r="AF115" s="3">
        <v>2</v>
      </c>
      <c r="AG115" s="3">
        <v>1</v>
      </c>
      <c r="AH115" s="3">
        <v>1</v>
      </c>
      <c r="AI115" s="3"/>
      <c r="AJ115" s="3"/>
      <c r="AK115" s="3"/>
      <c r="AL115" s="3"/>
      <c r="AM115" s="3">
        <v>3</v>
      </c>
      <c r="AN115" s="3">
        <v>1</v>
      </c>
      <c r="AO115" s="3">
        <v>6</v>
      </c>
      <c r="AP115" s="3"/>
      <c r="AQ115" s="3">
        <v>1</v>
      </c>
      <c r="AR115" s="3">
        <v>4</v>
      </c>
      <c r="AS115" s="3">
        <v>2</v>
      </c>
      <c r="AT115" s="3"/>
      <c r="AU115" s="3"/>
      <c r="AV115" s="3"/>
      <c r="AW115" s="3"/>
      <c r="AX115" s="3"/>
      <c r="AY115" s="3"/>
      <c r="AZ115" s="3"/>
      <c r="BA115" s="3"/>
      <c r="BB115" s="3">
        <v>9</v>
      </c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R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</row>
    <row r="116" spans="1:142" ht="15" customHeight="1" x14ac:dyDescent="0.25">
      <c r="A116" s="6" t="s">
        <v>255</v>
      </c>
      <c r="B116" s="2" t="s">
        <v>784</v>
      </c>
      <c r="C116" s="2" t="s">
        <v>1144</v>
      </c>
      <c r="D116" s="25" t="s">
        <v>786</v>
      </c>
      <c r="E116" s="4" t="s">
        <v>787</v>
      </c>
      <c r="F116" s="4" t="s">
        <v>793</v>
      </c>
      <c r="G116" s="26">
        <v>1987</v>
      </c>
      <c r="H116" s="4" t="s">
        <v>87</v>
      </c>
      <c r="I116" s="5"/>
      <c r="J116" s="4" t="s">
        <v>1125</v>
      </c>
      <c r="K116" s="4" t="s">
        <v>87</v>
      </c>
      <c r="M116" s="5"/>
      <c r="N116" s="2" t="s">
        <v>1145</v>
      </c>
      <c r="O116" s="28" t="s">
        <v>2460</v>
      </c>
      <c r="P116" s="3">
        <v>7</v>
      </c>
      <c r="Q116" s="27">
        <v>2</v>
      </c>
      <c r="R116" s="3"/>
      <c r="S116" s="3">
        <v>2</v>
      </c>
      <c r="T116" s="3"/>
      <c r="U116" s="3">
        <v>9</v>
      </c>
      <c r="V116" s="3">
        <v>3</v>
      </c>
      <c r="W116" s="3"/>
      <c r="X116" s="3"/>
      <c r="Y116" s="3">
        <v>4</v>
      </c>
      <c r="Z116" s="3">
        <v>3</v>
      </c>
      <c r="AA116" s="3">
        <v>1</v>
      </c>
      <c r="AB116" s="3">
        <v>7</v>
      </c>
      <c r="AC116" s="3"/>
      <c r="AD116" s="3">
        <v>5</v>
      </c>
      <c r="AE116" s="3">
        <v>5</v>
      </c>
      <c r="AF116" s="3">
        <v>7</v>
      </c>
      <c r="AG116" s="3">
        <v>2</v>
      </c>
      <c r="AH116" s="3">
        <v>1</v>
      </c>
      <c r="AI116" s="3"/>
      <c r="AJ116" s="3"/>
      <c r="AK116" s="3"/>
      <c r="AL116" s="3"/>
      <c r="AM116" s="3">
        <v>1</v>
      </c>
      <c r="AN116" s="3">
        <v>1</v>
      </c>
      <c r="AO116" s="3">
        <v>6</v>
      </c>
      <c r="AP116" s="3"/>
      <c r="AQ116" s="3">
        <v>1</v>
      </c>
      <c r="AR116" s="3">
        <v>6</v>
      </c>
      <c r="AS116" s="3">
        <v>2</v>
      </c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>
        <v>9</v>
      </c>
      <c r="BR116" s="3">
        <v>9</v>
      </c>
      <c r="BS116" s="3">
        <v>1</v>
      </c>
      <c r="BT116" s="19">
        <v>9</v>
      </c>
      <c r="BU116" s="3">
        <v>7</v>
      </c>
      <c r="BV116" s="19">
        <v>7</v>
      </c>
      <c r="BW116" s="19">
        <v>9</v>
      </c>
      <c r="BX116" s="19">
        <v>8</v>
      </c>
      <c r="BY116" s="3"/>
      <c r="BZ116" s="19">
        <v>7</v>
      </c>
      <c r="CA116" s="19">
        <v>9</v>
      </c>
      <c r="CB116" s="19">
        <v>5</v>
      </c>
      <c r="CC116" s="19">
        <v>9</v>
      </c>
      <c r="CD116" s="3">
        <v>9</v>
      </c>
      <c r="CE116" s="19">
        <v>7</v>
      </c>
      <c r="CF116" s="3">
        <v>9</v>
      </c>
      <c r="CG116" s="3"/>
      <c r="CH116" s="3">
        <v>9</v>
      </c>
      <c r="CI116" s="3">
        <v>9</v>
      </c>
      <c r="CJ116" s="3">
        <v>9</v>
      </c>
      <c r="CK116" s="3">
        <v>9</v>
      </c>
      <c r="CL116" s="3">
        <v>9</v>
      </c>
      <c r="CM116" s="3"/>
      <c r="CN116" s="3"/>
      <c r="CO116" s="3"/>
      <c r="CP116" s="3"/>
      <c r="CT116" s="3">
        <v>9</v>
      </c>
      <c r="CU116" s="3">
        <v>7</v>
      </c>
      <c r="CV116" s="3">
        <v>5</v>
      </c>
      <c r="CW116" s="3">
        <v>9</v>
      </c>
      <c r="CX116" s="3">
        <v>9</v>
      </c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R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</row>
    <row r="117" spans="1:142" ht="15" customHeight="1" x14ac:dyDescent="0.25">
      <c r="A117" s="6" t="s">
        <v>256</v>
      </c>
      <c r="B117" s="2" t="s">
        <v>784</v>
      </c>
      <c r="C117" s="2" t="s">
        <v>1146</v>
      </c>
      <c r="D117" s="25" t="s">
        <v>786</v>
      </c>
      <c r="E117" s="4" t="s">
        <v>787</v>
      </c>
      <c r="F117" s="4" t="s">
        <v>1147</v>
      </c>
      <c r="G117" s="29"/>
      <c r="H117" s="4" t="s">
        <v>88</v>
      </c>
      <c r="I117" s="5"/>
      <c r="J117" s="4" t="s">
        <v>1125</v>
      </c>
      <c r="K117" s="4" t="s">
        <v>88</v>
      </c>
      <c r="M117" s="5"/>
      <c r="N117" s="2" t="s">
        <v>1148</v>
      </c>
      <c r="O117" s="28" t="s">
        <v>2461</v>
      </c>
      <c r="P117" s="3">
        <v>7</v>
      </c>
      <c r="Q117" s="27">
        <v>2</v>
      </c>
      <c r="R117" s="3"/>
      <c r="S117" s="3"/>
      <c r="T117" s="3"/>
      <c r="U117" s="3">
        <v>1</v>
      </c>
      <c r="V117" s="3">
        <v>5</v>
      </c>
      <c r="W117" s="3"/>
      <c r="X117" s="3"/>
      <c r="Y117" s="3">
        <v>7</v>
      </c>
      <c r="Z117" s="3">
        <v>7</v>
      </c>
      <c r="AA117" s="3">
        <v>2</v>
      </c>
      <c r="AB117" s="3">
        <v>2</v>
      </c>
      <c r="AC117" s="3"/>
      <c r="AD117" s="3">
        <v>2</v>
      </c>
      <c r="AE117" s="3">
        <v>5</v>
      </c>
      <c r="AF117" s="3">
        <v>1</v>
      </c>
      <c r="AG117" s="3">
        <v>0</v>
      </c>
      <c r="AH117" s="3">
        <v>0</v>
      </c>
      <c r="AI117" s="3"/>
      <c r="AJ117" s="3"/>
      <c r="AK117" s="3"/>
      <c r="AL117" s="3"/>
      <c r="AM117" s="3">
        <v>1</v>
      </c>
      <c r="AN117" s="3">
        <v>3</v>
      </c>
      <c r="AO117" s="3">
        <v>6</v>
      </c>
      <c r="AP117" s="3"/>
      <c r="AQ117" s="3">
        <v>2</v>
      </c>
      <c r="AR117" s="3">
        <v>4</v>
      </c>
      <c r="AS117" s="3">
        <v>2</v>
      </c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>
        <v>9</v>
      </c>
      <c r="BS117" s="3"/>
      <c r="BT117" s="19">
        <v>5</v>
      </c>
      <c r="BU117" s="3">
        <v>7</v>
      </c>
      <c r="BV117" s="19">
        <v>9</v>
      </c>
      <c r="BW117" s="19">
        <v>7</v>
      </c>
      <c r="BX117" s="19">
        <v>1</v>
      </c>
      <c r="BY117" s="19">
        <v>9</v>
      </c>
      <c r="BZ117" s="19">
        <v>8</v>
      </c>
      <c r="CA117" s="19">
        <v>9</v>
      </c>
      <c r="CB117" s="19">
        <v>9</v>
      </c>
      <c r="CC117" s="19">
        <v>9</v>
      </c>
      <c r="CD117" s="3">
        <v>7</v>
      </c>
      <c r="CE117" s="19">
        <v>9</v>
      </c>
      <c r="CF117" s="3">
        <v>9</v>
      </c>
      <c r="CG117" s="19">
        <v>9</v>
      </c>
      <c r="CH117" s="3">
        <v>9</v>
      </c>
      <c r="CI117" s="3">
        <v>9</v>
      </c>
      <c r="CJ117" s="3">
        <v>9</v>
      </c>
      <c r="CK117" s="3">
        <v>8</v>
      </c>
      <c r="CL117" s="3">
        <v>8</v>
      </c>
      <c r="CM117" s="3"/>
      <c r="CN117" s="3"/>
      <c r="CO117" s="3"/>
      <c r="CP117" s="3"/>
      <c r="CT117" s="3">
        <v>9</v>
      </c>
      <c r="CU117" s="3">
        <v>9</v>
      </c>
      <c r="CV117" s="3">
        <v>9</v>
      </c>
      <c r="CW117" s="3">
        <v>9</v>
      </c>
      <c r="CX117" s="3">
        <v>7</v>
      </c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R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</row>
    <row r="118" spans="1:142" ht="15" customHeight="1" x14ac:dyDescent="0.25">
      <c r="A118" s="6" t="s">
        <v>257</v>
      </c>
      <c r="B118" s="2" t="s">
        <v>784</v>
      </c>
      <c r="C118" s="2" t="s">
        <v>1149</v>
      </c>
      <c r="D118" s="25" t="s">
        <v>786</v>
      </c>
      <c r="E118" s="4" t="s">
        <v>946</v>
      </c>
      <c r="F118" s="4" t="s">
        <v>1057</v>
      </c>
      <c r="G118" s="26">
        <v>1949</v>
      </c>
      <c r="H118" s="4" t="s">
        <v>89</v>
      </c>
      <c r="I118" s="5"/>
      <c r="J118" s="4" t="s">
        <v>1125</v>
      </c>
      <c r="M118" s="5"/>
      <c r="N118" s="2" t="s">
        <v>1150</v>
      </c>
      <c r="O118" s="28" t="s">
        <v>2462</v>
      </c>
      <c r="P118" s="3">
        <v>7</v>
      </c>
      <c r="Q118" s="27">
        <v>1</v>
      </c>
      <c r="R118" s="3"/>
      <c r="S118" s="3">
        <v>2</v>
      </c>
      <c r="T118" s="3"/>
      <c r="U118" s="3">
        <v>1</v>
      </c>
      <c r="V118" s="3">
        <v>2</v>
      </c>
      <c r="W118" s="3"/>
      <c r="X118" s="3"/>
      <c r="Y118" s="3">
        <v>7</v>
      </c>
      <c r="Z118" s="3">
        <v>2</v>
      </c>
      <c r="AA118" s="3">
        <v>1</v>
      </c>
      <c r="AB118" s="3">
        <v>1</v>
      </c>
      <c r="AC118" s="3"/>
      <c r="AD118" s="3">
        <v>2</v>
      </c>
      <c r="AE118" s="3">
        <v>5</v>
      </c>
      <c r="AF118" s="3">
        <v>1</v>
      </c>
      <c r="AG118" s="3">
        <v>0</v>
      </c>
      <c r="AH118" s="3">
        <v>0</v>
      </c>
      <c r="AI118" s="3"/>
      <c r="AJ118" s="3"/>
      <c r="AK118" s="3"/>
      <c r="AL118" s="3"/>
      <c r="AM118" s="3">
        <v>7</v>
      </c>
      <c r="AN118" s="3">
        <v>1</v>
      </c>
      <c r="AO118" s="3">
        <v>5</v>
      </c>
      <c r="AP118" s="3"/>
      <c r="AQ118" s="3">
        <v>1</v>
      </c>
      <c r="AR118" s="3"/>
      <c r="AS118" s="3">
        <v>1</v>
      </c>
      <c r="AT118" s="3"/>
      <c r="AU118" s="3"/>
      <c r="AV118" s="3"/>
      <c r="AW118" s="3"/>
      <c r="AX118" s="3"/>
      <c r="AY118" s="3"/>
      <c r="AZ118" s="3"/>
      <c r="BA118" s="3">
        <v>1</v>
      </c>
      <c r="BB118" s="3">
        <v>1</v>
      </c>
      <c r="BC118" s="3"/>
      <c r="BD118" s="3"/>
      <c r="BE118" s="3"/>
      <c r="BF118" s="3"/>
      <c r="BG118" s="3">
        <v>9</v>
      </c>
      <c r="BH118" s="3"/>
      <c r="BI118" s="3"/>
      <c r="BJ118" s="3"/>
      <c r="BK118" s="3">
        <v>3</v>
      </c>
      <c r="BL118" s="3"/>
      <c r="BM118" s="3"/>
      <c r="BN118" s="3"/>
      <c r="BO118" s="3"/>
      <c r="BP118" s="3"/>
      <c r="BQ118" s="3">
        <v>7</v>
      </c>
      <c r="BR118" s="3">
        <v>8</v>
      </c>
      <c r="BS118" s="3">
        <v>9</v>
      </c>
      <c r="BT118" s="19">
        <v>9</v>
      </c>
      <c r="BU118" s="3">
        <v>8</v>
      </c>
      <c r="BV118" s="19">
        <v>9</v>
      </c>
      <c r="BW118" s="19">
        <v>8</v>
      </c>
      <c r="BX118" s="19">
        <v>9</v>
      </c>
      <c r="BY118" s="19">
        <v>9</v>
      </c>
      <c r="BZ118" s="19">
        <v>9</v>
      </c>
      <c r="CA118" s="19">
        <v>9</v>
      </c>
      <c r="CB118" s="19">
        <v>9</v>
      </c>
      <c r="CC118" s="19">
        <v>9</v>
      </c>
      <c r="CD118" s="3">
        <v>9</v>
      </c>
      <c r="CE118" s="19">
        <v>9</v>
      </c>
      <c r="CF118" s="3">
        <v>9</v>
      </c>
      <c r="CG118" s="19">
        <v>9</v>
      </c>
      <c r="CH118" s="3">
        <v>9</v>
      </c>
      <c r="CI118" s="3">
        <v>9</v>
      </c>
      <c r="CJ118" s="3">
        <v>9</v>
      </c>
      <c r="CK118" s="3">
        <v>9</v>
      </c>
      <c r="CL118" s="3">
        <v>9</v>
      </c>
      <c r="CM118" s="3"/>
      <c r="CN118" s="3"/>
      <c r="CO118" s="3"/>
      <c r="CP118" s="3"/>
      <c r="CT118" s="3">
        <v>9</v>
      </c>
      <c r="CU118" s="3">
        <v>9</v>
      </c>
      <c r="CV118" s="3">
        <v>8</v>
      </c>
      <c r="CW118" s="3">
        <v>9</v>
      </c>
      <c r="CX118" s="3">
        <v>9</v>
      </c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R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</row>
    <row r="119" spans="1:142" ht="15" customHeight="1" x14ac:dyDescent="0.25">
      <c r="A119" s="6" t="s">
        <v>258</v>
      </c>
      <c r="B119" s="2" t="s">
        <v>784</v>
      </c>
      <c r="C119" s="2" t="s">
        <v>1151</v>
      </c>
      <c r="D119" s="25" t="s">
        <v>786</v>
      </c>
      <c r="E119" s="4" t="s">
        <v>946</v>
      </c>
      <c r="F119" s="4" t="s">
        <v>1014</v>
      </c>
      <c r="G119" s="29"/>
      <c r="H119" s="4" t="s">
        <v>91</v>
      </c>
      <c r="I119" s="5"/>
      <c r="J119" s="4" t="s">
        <v>1125</v>
      </c>
      <c r="M119" s="5"/>
      <c r="N119" s="2" t="s">
        <v>1152</v>
      </c>
      <c r="O119" s="28" t="s">
        <v>2463</v>
      </c>
      <c r="P119" s="3">
        <v>7</v>
      </c>
      <c r="Q119" s="27">
        <v>2</v>
      </c>
      <c r="R119" s="3"/>
      <c r="S119" s="3">
        <v>2</v>
      </c>
      <c r="T119" s="3"/>
      <c r="U119" s="3"/>
      <c r="V119" s="3">
        <v>1</v>
      </c>
      <c r="W119" s="3"/>
      <c r="X119" s="3"/>
      <c r="Y119" s="3">
        <v>6</v>
      </c>
      <c r="Z119" s="3">
        <v>2</v>
      </c>
      <c r="AA119" s="3">
        <v>1</v>
      </c>
      <c r="AB119" s="3">
        <v>2</v>
      </c>
      <c r="AC119" s="3"/>
      <c r="AD119" s="3">
        <v>5</v>
      </c>
      <c r="AE119" s="3">
        <v>6</v>
      </c>
      <c r="AF119" s="3">
        <v>7</v>
      </c>
      <c r="AG119" s="3">
        <v>2</v>
      </c>
      <c r="AH119" s="3">
        <v>1</v>
      </c>
      <c r="AI119" s="3"/>
      <c r="AJ119" s="3"/>
      <c r="AK119" s="3"/>
      <c r="AL119" s="3"/>
      <c r="AM119" s="3">
        <v>5</v>
      </c>
      <c r="AN119" s="3">
        <v>1</v>
      </c>
      <c r="AO119" s="3">
        <v>7</v>
      </c>
      <c r="AP119" s="3"/>
      <c r="AQ119" s="3">
        <v>1</v>
      </c>
      <c r="AR119" s="3">
        <v>5</v>
      </c>
      <c r="AS119" s="3">
        <v>1</v>
      </c>
      <c r="AT119" s="3"/>
      <c r="AU119" s="3"/>
      <c r="AV119" s="3"/>
      <c r="AW119" s="3"/>
      <c r="AX119" s="3"/>
      <c r="AY119" s="3"/>
      <c r="AZ119" s="3"/>
      <c r="BA119" s="3">
        <v>1</v>
      </c>
      <c r="BB119" s="3">
        <v>9</v>
      </c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>
        <v>9</v>
      </c>
      <c r="BR119" s="3">
        <v>9</v>
      </c>
      <c r="BS119" s="3">
        <v>9</v>
      </c>
      <c r="BT119" s="19">
        <v>9</v>
      </c>
      <c r="BU119" s="3">
        <v>1</v>
      </c>
      <c r="BV119" s="19">
        <v>9</v>
      </c>
      <c r="BW119" s="19">
        <v>9</v>
      </c>
      <c r="BX119" s="19">
        <v>9</v>
      </c>
      <c r="BY119" s="3"/>
      <c r="BZ119" s="19">
        <v>9</v>
      </c>
      <c r="CA119" s="19">
        <v>9</v>
      </c>
      <c r="CB119" s="19">
        <v>9</v>
      </c>
      <c r="CC119" s="19">
        <v>9</v>
      </c>
      <c r="CD119" s="3">
        <v>9</v>
      </c>
      <c r="CE119" s="19">
        <v>9</v>
      </c>
      <c r="CF119" s="3">
        <v>9</v>
      </c>
      <c r="CG119" s="3"/>
      <c r="CH119" s="3">
        <v>9</v>
      </c>
      <c r="CI119" s="3">
        <v>9</v>
      </c>
      <c r="CJ119" s="3">
        <v>9</v>
      </c>
      <c r="CK119" s="3">
        <v>9</v>
      </c>
      <c r="CL119" s="3">
        <v>9</v>
      </c>
      <c r="CM119" s="3"/>
      <c r="CN119" s="3"/>
      <c r="CO119" s="3"/>
      <c r="CP119" s="3"/>
      <c r="CT119" s="3">
        <v>9</v>
      </c>
      <c r="CU119" s="3">
        <v>7</v>
      </c>
      <c r="CV119" s="3">
        <v>7</v>
      </c>
      <c r="CW119" s="3">
        <v>9</v>
      </c>
      <c r="CX119" s="3">
        <v>9</v>
      </c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R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</row>
    <row r="120" spans="1:142" ht="15" customHeight="1" x14ac:dyDescent="0.25">
      <c r="A120" s="6" t="s">
        <v>259</v>
      </c>
      <c r="B120" s="2" t="s">
        <v>784</v>
      </c>
      <c r="C120" s="2" t="s">
        <v>1153</v>
      </c>
      <c r="D120" s="25" t="s">
        <v>786</v>
      </c>
      <c r="E120" s="4" t="s">
        <v>946</v>
      </c>
      <c r="F120" s="4" t="s">
        <v>1014</v>
      </c>
      <c r="G120" s="29"/>
      <c r="H120" s="4" t="s">
        <v>92</v>
      </c>
      <c r="I120" s="5"/>
      <c r="J120" s="4" t="s">
        <v>1125</v>
      </c>
      <c r="M120" s="5"/>
      <c r="N120" s="2" t="s">
        <v>1154</v>
      </c>
      <c r="O120" s="28" t="s">
        <v>2464</v>
      </c>
      <c r="P120" s="3">
        <v>7</v>
      </c>
      <c r="Q120" s="27">
        <v>2</v>
      </c>
      <c r="R120" s="3"/>
      <c r="S120" s="3">
        <v>2</v>
      </c>
      <c r="T120" s="3"/>
      <c r="U120" s="3">
        <v>1</v>
      </c>
      <c r="V120" s="3">
        <v>7</v>
      </c>
      <c r="W120" s="3"/>
      <c r="X120" s="3"/>
      <c r="Y120" s="3">
        <v>7</v>
      </c>
      <c r="Z120" s="3">
        <v>3</v>
      </c>
      <c r="AA120" s="3"/>
      <c r="AB120" s="3">
        <v>1</v>
      </c>
      <c r="AC120" s="3"/>
      <c r="AD120" s="3">
        <v>2</v>
      </c>
      <c r="AE120" s="3">
        <v>4</v>
      </c>
      <c r="AF120" s="3">
        <v>1</v>
      </c>
      <c r="AG120" s="3">
        <v>0</v>
      </c>
      <c r="AH120" s="3">
        <v>0</v>
      </c>
      <c r="AI120" s="3"/>
      <c r="AJ120" s="3"/>
      <c r="AK120" s="3"/>
      <c r="AL120" s="3"/>
      <c r="AM120" s="3">
        <v>6</v>
      </c>
      <c r="AN120" s="3">
        <v>4</v>
      </c>
      <c r="AO120" s="3">
        <v>5</v>
      </c>
      <c r="AP120" s="3">
        <v>0</v>
      </c>
      <c r="AQ120" s="3">
        <v>2</v>
      </c>
      <c r="AR120" s="3">
        <v>5</v>
      </c>
      <c r="AS120" s="3">
        <v>1</v>
      </c>
      <c r="AT120" s="3"/>
      <c r="AU120" s="3"/>
      <c r="AV120" s="3"/>
      <c r="AW120" s="3"/>
      <c r="AX120" s="3"/>
      <c r="AY120" s="3"/>
      <c r="AZ120" s="3"/>
      <c r="BA120" s="3">
        <v>1</v>
      </c>
      <c r="BB120" s="3">
        <v>1</v>
      </c>
      <c r="BC120" s="3">
        <v>115</v>
      </c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>
        <v>1</v>
      </c>
      <c r="BO120" s="3"/>
      <c r="BP120" s="3"/>
      <c r="BQ120" s="3"/>
      <c r="BR120" s="3">
        <v>9</v>
      </c>
      <c r="BS120" s="3"/>
      <c r="BT120" s="19">
        <v>7</v>
      </c>
      <c r="BU120" s="3">
        <v>9</v>
      </c>
      <c r="BV120" s="19">
        <v>9</v>
      </c>
      <c r="BW120" s="19">
        <v>9</v>
      </c>
      <c r="BX120" s="19">
        <v>1</v>
      </c>
      <c r="BY120" s="19">
        <v>9</v>
      </c>
      <c r="BZ120" s="19">
        <v>9</v>
      </c>
      <c r="CA120" s="19">
        <v>9</v>
      </c>
      <c r="CB120" s="19">
        <v>9</v>
      </c>
      <c r="CC120" s="19">
        <v>9</v>
      </c>
      <c r="CD120" s="3">
        <v>9</v>
      </c>
      <c r="CE120" s="19">
        <v>9</v>
      </c>
      <c r="CF120" s="3">
        <v>9</v>
      </c>
      <c r="CG120" s="19">
        <v>9</v>
      </c>
      <c r="CH120" s="3">
        <v>8</v>
      </c>
      <c r="CI120" s="3">
        <v>9</v>
      </c>
      <c r="CJ120" s="3">
        <v>9</v>
      </c>
      <c r="CK120" s="3">
        <v>7</v>
      </c>
      <c r="CL120" s="3">
        <v>9</v>
      </c>
      <c r="CM120" s="3"/>
      <c r="CN120" s="3"/>
      <c r="CO120" s="3"/>
      <c r="CP120" s="3"/>
      <c r="CT120" s="3">
        <v>9</v>
      </c>
      <c r="CU120" s="3">
        <v>9</v>
      </c>
      <c r="CV120" s="3">
        <v>5</v>
      </c>
      <c r="CW120" s="3">
        <v>9</v>
      </c>
      <c r="CX120" s="3">
        <v>7</v>
      </c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R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</row>
    <row r="121" spans="1:142" ht="15" customHeight="1" x14ac:dyDescent="0.25">
      <c r="A121" s="6" t="s">
        <v>260</v>
      </c>
      <c r="B121" s="2" t="s">
        <v>784</v>
      </c>
      <c r="C121" s="2" t="s">
        <v>1155</v>
      </c>
      <c r="D121" s="25" t="s">
        <v>786</v>
      </c>
      <c r="E121" s="4" t="s">
        <v>787</v>
      </c>
      <c r="F121" s="4" t="s">
        <v>788</v>
      </c>
      <c r="G121" s="26">
        <v>1990</v>
      </c>
      <c r="H121" s="4" t="s">
        <v>95</v>
      </c>
      <c r="I121" s="4" t="s">
        <v>1156</v>
      </c>
      <c r="J121" s="4" t="s">
        <v>1125</v>
      </c>
      <c r="K121" s="4" t="s">
        <v>95</v>
      </c>
      <c r="L121" s="2" t="s">
        <v>1157</v>
      </c>
      <c r="M121" s="5"/>
      <c r="N121" s="2" t="s">
        <v>1158</v>
      </c>
      <c r="O121" s="28" t="s">
        <v>2465</v>
      </c>
      <c r="P121" s="3">
        <v>7</v>
      </c>
      <c r="Q121" s="27">
        <v>1</v>
      </c>
      <c r="R121" s="3"/>
      <c r="S121" s="3"/>
      <c r="T121" s="3"/>
      <c r="U121" s="3">
        <v>9</v>
      </c>
      <c r="V121" s="3">
        <v>4</v>
      </c>
      <c r="W121" s="3"/>
      <c r="X121" s="19"/>
      <c r="Y121" s="3">
        <v>8</v>
      </c>
      <c r="Z121" s="3">
        <v>4</v>
      </c>
      <c r="AA121" s="3">
        <v>1</v>
      </c>
      <c r="AB121" s="3">
        <v>1</v>
      </c>
      <c r="AC121" s="3"/>
      <c r="AD121" s="3">
        <v>5</v>
      </c>
      <c r="AE121" s="3">
        <v>8</v>
      </c>
      <c r="AF121" s="3">
        <v>9</v>
      </c>
      <c r="AG121" s="3">
        <v>2</v>
      </c>
      <c r="AH121" s="3">
        <v>1</v>
      </c>
      <c r="AI121" s="3"/>
      <c r="AJ121" s="3"/>
      <c r="AK121" s="3"/>
      <c r="AL121" s="3"/>
      <c r="AM121" s="3">
        <v>1</v>
      </c>
      <c r="AN121" s="3">
        <v>1</v>
      </c>
      <c r="AO121" s="3">
        <v>6</v>
      </c>
      <c r="AP121" s="3">
        <v>1</v>
      </c>
      <c r="AQ121" s="3">
        <v>1</v>
      </c>
      <c r="AR121" s="3">
        <v>4</v>
      </c>
      <c r="AS121" s="3">
        <v>1</v>
      </c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>
        <v>3</v>
      </c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>
        <v>9</v>
      </c>
      <c r="CE121" s="3"/>
      <c r="CF121" s="3"/>
      <c r="CG121" s="3"/>
      <c r="CH121" s="3">
        <v>9</v>
      </c>
      <c r="CI121" s="3">
        <v>9</v>
      </c>
      <c r="CJ121" s="3">
        <v>9</v>
      </c>
      <c r="CK121" s="3">
        <v>9</v>
      </c>
      <c r="CL121" s="3">
        <v>9</v>
      </c>
      <c r="CM121" s="3">
        <v>9</v>
      </c>
      <c r="CN121" s="3">
        <v>5</v>
      </c>
      <c r="CO121" s="3">
        <v>9</v>
      </c>
      <c r="CP121" s="3">
        <v>9</v>
      </c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R121" s="3"/>
    </row>
    <row r="122" spans="1:142" ht="15" customHeight="1" x14ac:dyDescent="0.25">
      <c r="A122" s="6" t="s">
        <v>261</v>
      </c>
      <c r="B122" s="2" t="s">
        <v>784</v>
      </c>
      <c r="C122" s="2" t="s">
        <v>1159</v>
      </c>
      <c r="D122" s="25" t="s">
        <v>786</v>
      </c>
      <c r="E122" s="4" t="s">
        <v>946</v>
      </c>
      <c r="F122" s="4" t="s">
        <v>1160</v>
      </c>
      <c r="G122" s="26">
        <v>1990</v>
      </c>
      <c r="H122" s="4" t="s">
        <v>108</v>
      </c>
      <c r="I122" s="5"/>
      <c r="J122" s="4" t="s">
        <v>1125</v>
      </c>
      <c r="M122" s="5"/>
      <c r="N122" s="2" t="s">
        <v>1161</v>
      </c>
      <c r="O122" s="28" t="s">
        <v>2466</v>
      </c>
      <c r="P122" s="3">
        <v>7</v>
      </c>
      <c r="Q122" s="27">
        <v>2</v>
      </c>
      <c r="R122" s="3"/>
      <c r="S122" s="3">
        <v>2</v>
      </c>
      <c r="T122" s="3"/>
      <c r="U122" s="3">
        <v>9</v>
      </c>
      <c r="V122" s="3">
        <v>3</v>
      </c>
      <c r="W122" s="3"/>
      <c r="X122" s="3"/>
      <c r="Y122" s="3">
        <v>6</v>
      </c>
      <c r="Z122" s="3">
        <v>6</v>
      </c>
      <c r="AA122" s="3">
        <v>2</v>
      </c>
      <c r="AB122" s="3">
        <v>2</v>
      </c>
      <c r="AC122" s="3"/>
      <c r="AD122" s="3">
        <v>5</v>
      </c>
      <c r="AE122" s="3">
        <v>3</v>
      </c>
      <c r="AF122" s="3">
        <v>5</v>
      </c>
      <c r="AG122" s="3">
        <v>2</v>
      </c>
      <c r="AH122" s="3">
        <v>1</v>
      </c>
      <c r="AI122" s="3"/>
      <c r="AJ122" s="3">
        <v>1</v>
      </c>
      <c r="AK122" s="3"/>
      <c r="AL122" s="3"/>
      <c r="AM122" s="3">
        <v>2</v>
      </c>
      <c r="AN122" s="3">
        <v>3</v>
      </c>
      <c r="AO122" s="3">
        <v>5</v>
      </c>
      <c r="AP122" s="3">
        <v>0</v>
      </c>
      <c r="AQ122" s="3">
        <v>1</v>
      </c>
      <c r="AR122" s="3">
        <v>4</v>
      </c>
      <c r="AS122" s="3">
        <v>1</v>
      </c>
      <c r="AT122" s="3"/>
      <c r="AU122" s="3"/>
      <c r="AV122" s="3"/>
      <c r="AW122" s="3"/>
      <c r="AX122" s="3"/>
      <c r="AY122" s="3"/>
      <c r="AZ122" s="3">
        <v>1</v>
      </c>
      <c r="BA122" s="3">
        <v>1</v>
      </c>
      <c r="BB122" s="3">
        <v>9</v>
      </c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>
        <v>9</v>
      </c>
      <c r="BR122" s="3">
        <v>9</v>
      </c>
      <c r="BS122" s="3">
        <v>7</v>
      </c>
      <c r="BT122" s="19">
        <v>9</v>
      </c>
      <c r="BU122" s="3">
        <v>7</v>
      </c>
      <c r="BV122" s="19">
        <v>9</v>
      </c>
      <c r="BW122" s="19">
        <v>9</v>
      </c>
      <c r="BX122" s="19">
        <v>9</v>
      </c>
      <c r="BY122" s="19">
        <v>9</v>
      </c>
      <c r="BZ122" s="19">
        <v>9</v>
      </c>
      <c r="CA122" s="19">
        <v>9</v>
      </c>
      <c r="CB122" s="19">
        <v>9</v>
      </c>
      <c r="CC122" s="19">
        <v>9</v>
      </c>
      <c r="CD122" s="3"/>
      <c r="CE122" s="19">
        <v>8</v>
      </c>
      <c r="CF122" s="3">
        <v>9</v>
      </c>
      <c r="CG122" s="19">
        <v>9</v>
      </c>
      <c r="CH122" s="3">
        <v>8</v>
      </c>
      <c r="CI122" s="3">
        <v>9</v>
      </c>
      <c r="CJ122" s="3">
        <v>9</v>
      </c>
      <c r="CK122" s="3">
        <v>9</v>
      </c>
      <c r="CL122" s="3">
        <v>8</v>
      </c>
      <c r="CM122" s="3"/>
      <c r="CN122" s="3"/>
      <c r="CO122" s="3"/>
      <c r="CP122" s="3"/>
      <c r="CT122" s="3">
        <v>9</v>
      </c>
      <c r="CU122" s="3">
        <v>9</v>
      </c>
      <c r="CV122" s="3">
        <v>6</v>
      </c>
      <c r="CW122" s="3">
        <v>9</v>
      </c>
      <c r="CX122" s="3">
        <v>9</v>
      </c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R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</row>
    <row r="123" spans="1:142" ht="15" customHeight="1" x14ac:dyDescent="0.25">
      <c r="A123" s="6" t="s">
        <v>262</v>
      </c>
      <c r="B123" s="2" t="s">
        <v>784</v>
      </c>
      <c r="C123" s="2" t="s">
        <v>1162</v>
      </c>
      <c r="D123" s="25" t="s">
        <v>786</v>
      </c>
      <c r="E123" s="4" t="s">
        <v>787</v>
      </c>
      <c r="F123" s="4" t="s">
        <v>809</v>
      </c>
      <c r="G123" s="26">
        <v>1990</v>
      </c>
      <c r="H123" s="4" t="s">
        <v>112</v>
      </c>
      <c r="I123" s="5"/>
      <c r="J123" s="4" t="s">
        <v>1125</v>
      </c>
      <c r="K123" s="4" t="s">
        <v>1163</v>
      </c>
      <c r="L123" s="2" t="s">
        <v>802</v>
      </c>
      <c r="M123" s="5"/>
      <c r="N123" s="2" t="s">
        <v>1164</v>
      </c>
      <c r="O123" s="28" t="s">
        <v>2467</v>
      </c>
      <c r="P123" s="3">
        <v>7</v>
      </c>
      <c r="Q123" s="27">
        <v>2</v>
      </c>
      <c r="R123" s="3"/>
      <c r="S123" s="3"/>
      <c r="T123" s="3"/>
      <c r="U123" s="3">
        <v>9</v>
      </c>
      <c r="V123" s="3"/>
      <c r="W123" s="3"/>
      <c r="X123" s="19"/>
      <c r="Y123" s="3">
        <v>6</v>
      </c>
      <c r="Z123" s="3">
        <v>8</v>
      </c>
      <c r="AA123" s="3"/>
      <c r="AB123" s="3">
        <v>2</v>
      </c>
      <c r="AC123" s="3"/>
      <c r="AD123" s="3">
        <v>5</v>
      </c>
      <c r="AE123" s="3">
        <v>6</v>
      </c>
      <c r="AF123" s="3">
        <v>6</v>
      </c>
      <c r="AG123" s="3">
        <v>2</v>
      </c>
      <c r="AH123" s="3">
        <v>1</v>
      </c>
      <c r="AI123" s="3"/>
      <c r="AJ123" s="3"/>
      <c r="AK123" s="3"/>
      <c r="AL123" s="3"/>
      <c r="AM123" s="3">
        <v>1</v>
      </c>
      <c r="AN123" s="3">
        <v>1</v>
      </c>
      <c r="AO123" s="3">
        <v>4</v>
      </c>
      <c r="AP123" s="3"/>
      <c r="AQ123" s="3">
        <v>1</v>
      </c>
      <c r="AR123" s="3">
        <v>3</v>
      </c>
      <c r="AS123" s="3">
        <v>1</v>
      </c>
      <c r="AT123" s="3"/>
      <c r="AU123" s="3">
        <v>118.5</v>
      </c>
      <c r="AV123" s="3"/>
      <c r="AW123" s="3"/>
      <c r="AX123" s="3"/>
      <c r="AY123" s="3"/>
      <c r="AZ123" s="3"/>
      <c r="BA123" s="3">
        <v>1</v>
      </c>
      <c r="BB123" s="3">
        <v>9</v>
      </c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>
        <v>7</v>
      </c>
      <c r="BS123" s="3"/>
      <c r="BT123" s="19">
        <v>9</v>
      </c>
      <c r="BU123" s="3">
        <v>9</v>
      </c>
      <c r="BV123" s="19">
        <v>9</v>
      </c>
      <c r="BW123" s="19">
        <v>9</v>
      </c>
      <c r="BX123" s="19">
        <v>1</v>
      </c>
      <c r="BY123" s="19">
        <v>9</v>
      </c>
      <c r="BZ123" s="19">
        <v>9</v>
      </c>
      <c r="CA123" s="19">
        <v>9</v>
      </c>
      <c r="CB123" s="19">
        <v>9</v>
      </c>
      <c r="CC123" s="19">
        <v>9</v>
      </c>
      <c r="CD123" s="3">
        <v>7</v>
      </c>
      <c r="CE123" s="19">
        <v>9</v>
      </c>
      <c r="CF123" s="3">
        <v>9</v>
      </c>
      <c r="CG123" s="19">
        <v>9</v>
      </c>
      <c r="CH123" s="3">
        <v>9</v>
      </c>
      <c r="CI123" s="3">
        <v>9</v>
      </c>
      <c r="CJ123" s="3">
        <v>9</v>
      </c>
      <c r="CK123" s="3">
        <v>8</v>
      </c>
      <c r="CL123" s="3">
        <v>9</v>
      </c>
      <c r="CM123" s="3"/>
      <c r="CN123" s="3"/>
      <c r="CO123" s="3"/>
      <c r="CP123" s="3"/>
      <c r="CT123" s="3">
        <v>9</v>
      </c>
      <c r="CU123" s="3">
        <v>9</v>
      </c>
      <c r="CV123" s="3">
        <v>9</v>
      </c>
      <c r="CW123" s="3">
        <v>9</v>
      </c>
      <c r="CX123" s="3">
        <v>3</v>
      </c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R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</row>
    <row r="124" spans="1:142" ht="15" customHeight="1" x14ac:dyDescent="0.2">
      <c r="A124" s="6" t="s">
        <v>263</v>
      </c>
      <c r="B124" s="2" t="s">
        <v>784</v>
      </c>
      <c r="C124" s="2" t="s">
        <v>1165</v>
      </c>
      <c r="D124" s="25" t="s">
        <v>786</v>
      </c>
      <c r="E124" s="4" t="s">
        <v>787</v>
      </c>
      <c r="F124" s="4" t="s">
        <v>788</v>
      </c>
      <c r="G124" s="26">
        <v>1992</v>
      </c>
      <c r="H124" s="4" t="s">
        <v>131</v>
      </c>
      <c r="I124" s="4" t="s">
        <v>1166</v>
      </c>
      <c r="J124" s="4" t="s">
        <v>1125</v>
      </c>
      <c r="L124" s="31" t="s">
        <v>1157</v>
      </c>
      <c r="M124" s="4" t="s">
        <v>1167</v>
      </c>
      <c r="N124" s="2" t="s">
        <v>1168</v>
      </c>
      <c r="O124" s="28" t="s">
        <v>2468</v>
      </c>
      <c r="P124" s="3"/>
      <c r="Q124" s="27"/>
      <c r="R124" s="3"/>
      <c r="S124" s="3"/>
      <c r="T124" s="3"/>
      <c r="U124" s="3"/>
      <c r="V124" s="3"/>
      <c r="W124" s="3"/>
      <c r="X124" s="19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R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</row>
    <row r="125" spans="1:142" ht="15" customHeight="1" x14ac:dyDescent="0.25">
      <c r="A125" s="6" t="s">
        <v>264</v>
      </c>
      <c r="B125" s="2" t="s">
        <v>784</v>
      </c>
      <c r="C125" s="2" t="s">
        <v>1169</v>
      </c>
      <c r="D125" s="25" t="s">
        <v>786</v>
      </c>
      <c r="E125" s="4" t="s">
        <v>946</v>
      </c>
      <c r="F125" s="4" t="s">
        <v>1014</v>
      </c>
      <c r="G125" s="29"/>
      <c r="H125" s="4" t="s">
        <v>33</v>
      </c>
      <c r="I125" s="4" t="s">
        <v>1170</v>
      </c>
      <c r="J125" s="4" t="s">
        <v>1171</v>
      </c>
      <c r="M125" s="5"/>
      <c r="N125" s="2" t="s">
        <v>1172</v>
      </c>
      <c r="O125" s="28" t="s">
        <v>2469</v>
      </c>
      <c r="P125" s="3">
        <v>7</v>
      </c>
      <c r="Q125" s="27">
        <v>2</v>
      </c>
      <c r="R125" s="3"/>
      <c r="S125" s="3">
        <v>2</v>
      </c>
      <c r="T125" s="3"/>
      <c r="U125" s="3">
        <v>1</v>
      </c>
      <c r="V125" s="3"/>
      <c r="W125" s="3"/>
      <c r="X125" s="3"/>
      <c r="Y125" s="3">
        <v>7</v>
      </c>
      <c r="Z125" s="3">
        <v>2</v>
      </c>
      <c r="AA125" s="3">
        <v>1</v>
      </c>
      <c r="AB125" s="3">
        <v>2</v>
      </c>
      <c r="AC125" s="3"/>
      <c r="AD125" s="3">
        <v>2</v>
      </c>
      <c r="AE125" s="3">
        <v>6</v>
      </c>
      <c r="AF125" s="3">
        <v>1</v>
      </c>
      <c r="AG125" s="3"/>
      <c r="AH125" s="3"/>
      <c r="AI125" s="3"/>
      <c r="AJ125" s="3"/>
      <c r="AK125" s="3"/>
      <c r="AL125" s="3"/>
      <c r="AM125" s="3"/>
      <c r="AN125" s="3"/>
      <c r="AO125" s="3">
        <v>6</v>
      </c>
      <c r="AP125" s="3"/>
      <c r="AQ125" s="3">
        <v>1</v>
      </c>
      <c r="AR125" s="3">
        <v>5</v>
      </c>
      <c r="AS125" s="3">
        <v>1</v>
      </c>
      <c r="AT125" s="3"/>
      <c r="AU125" s="3"/>
      <c r="AV125" s="3">
        <v>40</v>
      </c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>
        <v>8</v>
      </c>
      <c r="BR125" s="3">
        <v>8</v>
      </c>
      <c r="BS125" s="3">
        <v>9</v>
      </c>
      <c r="BT125" s="19">
        <v>9</v>
      </c>
      <c r="BU125" s="3">
        <v>8</v>
      </c>
      <c r="BV125" s="19">
        <v>9</v>
      </c>
      <c r="BW125" s="19">
        <v>9</v>
      </c>
      <c r="BX125" s="19">
        <v>9</v>
      </c>
      <c r="BY125" s="19">
        <v>9</v>
      </c>
      <c r="BZ125" s="19">
        <v>9</v>
      </c>
      <c r="CA125" s="19">
        <v>9</v>
      </c>
      <c r="CB125" s="19">
        <v>8</v>
      </c>
      <c r="CC125" s="19">
        <v>9</v>
      </c>
      <c r="CD125" s="3">
        <v>8</v>
      </c>
      <c r="CE125" s="3"/>
      <c r="CF125" s="3">
        <v>9</v>
      </c>
      <c r="CG125" s="19">
        <v>9</v>
      </c>
      <c r="CH125" s="3">
        <v>9</v>
      </c>
      <c r="CI125" s="3">
        <v>9</v>
      </c>
      <c r="CJ125" s="3">
        <v>9</v>
      </c>
      <c r="CK125" s="3">
        <v>9</v>
      </c>
      <c r="CL125" s="3">
        <v>8</v>
      </c>
      <c r="CM125" s="3"/>
      <c r="CN125" s="3"/>
      <c r="CO125" s="3"/>
      <c r="CP125" s="3"/>
      <c r="CT125" s="3">
        <v>9</v>
      </c>
      <c r="CU125" s="3">
        <v>9</v>
      </c>
      <c r="CV125" s="3">
        <v>6</v>
      </c>
      <c r="CW125" s="3">
        <v>9</v>
      </c>
      <c r="CX125" s="3">
        <v>9</v>
      </c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R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</row>
    <row r="126" spans="1:142" ht="15" customHeight="1" x14ac:dyDescent="0.25">
      <c r="A126" s="6" t="s">
        <v>265</v>
      </c>
      <c r="B126" s="2" t="s">
        <v>784</v>
      </c>
      <c r="C126" s="2" t="s">
        <v>1173</v>
      </c>
      <c r="D126" s="25" t="s">
        <v>786</v>
      </c>
      <c r="E126" s="4" t="s">
        <v>787</v>
      </c>
      <c r="F126" s="4" t="s">
        <v>1174</v>
      </c>
      <c r="G126" s="26">
        <v>1941</v>
      </c>
      <c r="H126" s="4" t="s">
        <v>49</v>
      </c>
      <c r="I126" s="5"/>
      <c r="J126" s="4" t="s">
        <v>1171</v>
      </c>
      <c r="K126" s="4" t="s">
        <v>49</v>
      </c>
      <c r="M126" s="5"/>
      <c r="N126" s="2" t="s">
        <v>1175</v>
      </c>
      <c r="O126" s="28" t="s">
        <v>2470</v>
      </c>
      <c r="P126" s="3">
        <v>7</v>
      </c>
      <c r="Q126" s="27">
        <v>2</v>
      </c>
      <c r="R126" s="3"/>
      <c r="S126" s="3">
        <v>2</v>
      </c>
      <c r="T126" s="3">
        <v>4</v>
      </c>
      <c r="U126" s="3">
        <v>1</v>
      </c>
      <c r="V126" s="3">
        <v>1</v>
      </c>
      <c r="W126" s="3"/>
      <c r="X126" s="3"/>
      <c r="Y126" s="3">
        <v>6</v>
      </c>
      <c r="Z126" s="3">
        <v>2</v>
      </c>
      <c r="AA126" s="3">
        <v>1</v>
      </c>
      <c r="AB126" s="3">
        <v>1</v>
      </c>
      <c r="AC126" s="3"/>
      <c r="AD126" s="3">
        <v>3</v>
      </c>
      <c r="AE126" s="3">
        <v>3</v>
      </c>
      <c r="AF126" s="3">
        <v>1</v>
      </c>
      <c r="AG126" s="3">
        <v>0</v>
      </c>
      <c r="AH126" s="3">
        <v>0</v>
      </c>
      <c r="AI126" s="3"/>
      <c r="AJ126" s="3"/>
      <c r="AK126" s="3"/>
      <c r="AL126" s="3"/>
      <c r="AM126" s="3">
        <v>2</v>
      </c>
      <c r="AN126" s="3">
        <v>3</v>
      </c>
      <c r="AO126" s="3">
        <v>8</v>
      </c>
      <c r="AP126" s="3">
        <v>0</v>
      </c>
      <c r="AQ126" s="3">
        <v>1</v>
      </c>
      <c r="AR126" s="3">
        <v>6</v>
      </c>
      <c r="AS126" s="3">
        <v>1</v>
      </c>
      <c r="AT126" s="3"/>
      <c r="AU126" s="3"/>
      <c r="AV126" s="3">
        <v>55</v>
      </c>
      <c r="AW126" s="3"/>
      <c r="AX126" s="3"/>
      <c r="AY126" s="3"/>
      <c r="AZ126" s="3"/>
      <c r="BA126" s="3"/>
      <c r="BB126" s="3">
        <v>1</v>
      </c>
      <c r="BC126" s="3"/>
      <c r="BD126" s="3"/>
      <c r="BE126" s="3"/>
      <c r="BF126" s="3"/>
      <c r="BG126" s="3">
        <v>7</v>
      </c>
      <c r="BH126" s="3"/>
      <c r="BI126" s="3"/>
      <c r="BJ126" s="3"/>
      <c r="BK126" s="3">
        <v>5</v>
      </c>
      <c r="BL126" s="3"/>
      <c r="BM126" s="3"/>
      <c r="BN126" s="3"/>
      <c r="BO126" s="3"/>
      <c r="BP126" s="3"/>
      <c r="BQ126" s="3"/>
      <c r="BR126" s="3">
        <v>9</v>
      </c>
      <c r="BS126" s="3">
        <v>9</v>
      </c>
      <c r="BT126" s="19">
        <v>9</v>
      </c>
      <c r="BU126" s="3">
        <v>5</v>
      </c>
      <c r="BV126" s="19">
        <v>9</v>
      </c>
      <c r="BW126" s="19">
        <v>9</v>
      </c>
      <c r="BX126" s="19">
        <v>5</v>
      </c>
      <c r="BY126" s="19">
        <v>9</v>
      </c>
      <c r="BZ126" s="19">
        <v>9</v>
      </c>
      <c r="CA126" s="19">
        <v>9</v>
      </c>
      <c r="CB126" s="19">
        <v>9</v>
      </c>
      <c r="CC126" s="19">
        <v>9</v>
      </c>
      <c r="CD126" s="3">
        <v>9</v>
      </c>
      <c r="CE126" s="19">
        <v>9</v>
      </c>
      <c r="CF126" s="3">
        <v>9</v>
      </c>
      <c r="CG126" s="19">
        <v>9</v>
      </c>
      <c r="CH126" s="3">
        <v>8</v>
      </c>
      <c r="CI126" s="3">
        <v>9</v>
      </c>
      <c r="CJ126" s="3">
        <v>9</v>
      </c>
      <c r="CK126" s="3">
        <v>9</v>
      </c>
      <c r="CL126" s="3">
        <v>9</v>
      </c>
      <c r="CM126" s="19">
        <v>9</v>
      </c>
      <c r="CN126" s="3"/>
      <c r="CO126" s="3"/>
      <c r="CP126" s="3"/>
      <c r="CT126" s="3">
        <v>9</v>
      </c>
      <c r="CU126" s="3">
        <v>9</v>
      </c>
      <c r="CV126" s="3">
        <v>9</v>
      </c>
      <c r="CW126" s="3">
        <v>9</v>
      </c>
      <c r="CX126" s="3">
        <v>9</v>
      </c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R126" s="3"/>
    </row>
    <row r="127" spans="1:142" ht="15" customHeight="1" x14ac:dyDescent="0.25">
      <c r="A127" s="6" t="s">
        <v>266</v>
      </c>
      <c r="B127" s="2" t="s">
        <v>784</v>
      </c>
      <c r="C127" s="2" t="s">
        <v>1176</v>
      </c>
      <c r="D127" s="25" t="s">
        <v>786</v>
      </c>
      <c r="E127" s="5"/>
      <c r="F127" s="4" t="s">
        <v>1014</v>
      </c>
      <c r="G127" s="26">
        <v>1956</v>
      </c>
      <c r="H127" s="4" t="s">
        <v>70</v>
      </c>
      <c r="I127" s="5"/>
      <c r="J127" s="4" t="s">
        <v>1171</v>
      </c>
      <c r="M127" s="5"/>
      <c r="N127" s="2" t="s">
        <v>1177</v>
      </c>
      <c r="O127" s="28" t="s">
        <v>2471</v>
      </c>
      <c r="P127" s="3">
        <v>7</v>
      </c>
      <c r="Q127" s="27">
        <v>1</v>
      </c>
      <c r="R127" s="3"/>
      <c r="S127" s="3">
        <v>2</v>
      </c>
      <c r="T127" s="3">
        <v>3</v>
      </c>
      <c r="U127" s="3">
        <v>9</v>
      </c>
      <c r="V127" s="3"/>
      <c r="W127" s="3"/>
      <c r="X127" s="3"/>
      <c r="Y127" s="3">
        <v>8</v>
      </c>
      <c r="Z127" s="3">
        <v>2</v>
      </c>
      <c r="AA127" s="3">
        <v>1</v>
      </c>
      <c r="AB127" s="3">
        <v>2</v>
      </c>
      <c r="AC127" s="3"/>
      <c r="AD127" s="3">
        <v>5</v>
      </c>
      <c r="AE127" s="3">
        <v>4</v>
      </c>
      <c r="AF127" s="3">
        <v>6</v>
      </c>
      <c r="AG127" s="3">
        <v>2</v>
      </c>
      <c r="AH127" s="3">
        <v>1</v>
      </c>
      <c r="AI127" s="3"/>
      <c r="AJ127" s="3"/>
      <c r="AK127" s="3"/>
      <c r="AL127" s="3"/>
      <c r="AM127" s="3">
        <v>1</v>
      </c>
      <c r="AN127" s="3"/>
      <c r="AO127" s="3">
        <v>6</v>
      </c>
      <c r="AP127" s="3"/>
      <c r="AQ127" s="3">
        <v>1</v>
      </c>
      <c r="AR127" s="3">
        <v>5</v>
      </c>
      <c r="AS127" s="3">
        <v>1</v>
      </c>
      <c r="AT127" s="3"/>
      <c r="AU127" s="3"/>
      <c r="AV127" s="3">
        <v>40</v>
      </c>
      <c r="AW127" s="3"/>
      <c r="AX127" s="3"/>
      <c r="AY127" s="3"/>
      <c r="AZ127" s="3"/>
      <c r="BA127" s="3"/>
      <c r="BB127" s="3">
        <v>9</v>
      </c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>
        <v>9</v>
      </c>
      <c r="BR127" s="3">
        <v>9</v>
      </c>
      <c r="BS127" s="3">
        <v>9</v>
      </c>
      <c r="BT127" s="19">
        <v>9</v>
      </c>
      <c r="BU127" s="3">
        <v>7</v>
      </c>
      <c r="BV127" s="19">
        <v>9</v>
      </c>
      <c r="BW127" s="19">
        <v>9</v>
      </c>
      <c r="BX127" s="19">
        <v>9</v>
      </c>
      <c r="BY127" s="19">
        <v>9</v>
      </c>
      <c r="BZ127" s="19">
        <v>9</v>
      </c>
      <c r="CA127" s="19">
        <v>9</v>
      </c>
      <c r="CB127" s="19">
        <v>9</v>
      </c>
      <c r="CC127" s="19">
        <v>9</v>
      </c>
      <c r="CD127" s="3">
        <v>9</v>
      </c>
      <c r="CE127" s="19">
        <v>9</v>
      </c>
      <c r="CF127" s="3">
        <v>9</v>
      </c>
      <c r="CG127" s="19">
        <v>9</v>
      </c>
      <c r="CH127" s="3">
        <v>9</v>
      </c>
      <c r="CI127" s="3">
        <v>9</v>
      </c>
      <c r="CJ127" s="3">
        <v>9</v>
      </c>
      <c r="CK127" s="3">
        <v>9</v>
      </c>
      <c r="CL127" s="3">
        <v>9</v>
      </c>
      <c r="CM127" s="3"/>
      <c r="CN127" s="3"/>
      <c r="CO127" s="3"/>
      <c r="CP127" s="3"/>
      <c r="CT127" s="3">
        <v>9</v>
      </c>
      <c r="CU127" s="3">
        <v>9</v>
      </c>
      <c r="CV127" s="3">
        <v>9</v>
      </c>
      <c r="CW127" s="3">
        <v>9</v>
      </c>
      <c r="CX127" s="3">
        <v>9</v>
      </c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R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</row>
    <row r="128" spans="1:142" ht="15" customHeight="1" x14ac:dyDescent="0.25">
      <c r="A128" s="6" t="s">
        <v>267</v>
      </c>
      <c r="B128" s="2" t="s">
        <v>784</v>
      </c>
      <c r="C128" s="2" t="s">
        <v>1178</v>
      </c>
      <c r="D128" s="25" t="s">
        <v>786</v>
      </c>
      <c r="E128" s="4" t="s">
        <v>946</v>
      </c>
      <c r="F128" s="4" t="s">
        <v>1100</v>
      </c>
      <c r="G128" s="26">
        <v>1958</v>
      </c>
      <c r="H128" s="4" t="s">
        <v>21</v>
      </c>
      <c r="I128" s="5"/>
      <c r="J128" s="4" t="s">
        <v>1179</v>
      </c>
      <c r="M128" s="4" t="s">
        <v>1180</v>
      </c>
      <c r="N128" s="2" t="s">
        <v>1181</v>
      </c>
      <c r="O128" s="28" t="s">
        <v>2472</v>
      </c>
      <c r="P128" s="3"/>
      <c r="Q128" s="27">
        <v>2</v>
      </c>
      <c r="R128" s="3"/>
      <c r="S128" s="3">
        <v>1</v>
      </c>
      <c r="T128" s="3"/>
      <c r="U128" s="3">
        <v>9</v>
      </c>
      <c r="V128" s="3"/>
      <c r="W128" s="3">
        <v>4</v>
      </c>
      <c r="X128" s="3"/>
      <c r="Z128" s="3"/>
      <c r="AA128" s="3"/>
      <c r="AB128" s="3">
        <v>2</v>
      </c>
      <c r="AC128" s="3">
        <v>5</v>
      </c>
      <c r="AD128" s="3"/>
      <c r="AE128" s="3"/>
      <c r="AF128" s="3">
        <v>3</v>
      </c>
      <c r="AG128" s="3">
        <v>1</v>
      </c>
      <c r="AH128" s="3">
        <v>1</v>
      </c>
      <c r="AI128" s="3">
        <v>1</v>
      </c>
      <c r="AJ128" s="3">
        <v>1</v>
      </c>
      <c r="AK128" s="3"/>
      <c r="AL128" s="3">
        <v>1</v>
      </c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>
        <v>9</v>
      </c>
      <c r="AX128" s="3"/>
      <c r="AY128" s="3">
        <v>1</v>
      </c>
      <c r="AZ128" s="3">
        <v>1</v>
      </c>
      <c r="BA128" s="3"/>
      <c r="BB128" s="3">
        <v>9</v>
      </c>
      <c r="BC128" s="3"/>
      <c r="BD128" s="3"/>
      <c r="BE128" s="3"/>
      <c r="BF128" s="3"/>
      <c r="BG128" s="3">
        <v>9</v>
      </c>
      <c r="BH128" s="3"/>
      <c r="BI128" s="3"/>
      <c r="BJ128" s="3"/>
      <c r="BK128" s="3">
        <v>5</v>
      </c>
      <c r="BL128" s="3"/>
      <c r="BM128" s="3"/>
      <c r="BN128" s="3"/>
      <c r="BO128" s="3"/>
      <c r="BP128" s="3">
        <v>8</v>
      </c>
      <c r="BQ128" s="3">
        <v>5</v>
      </c>
      <c r="BR128" s="3">
        <v>8</v>
      </c>
      <c r="BS128" s="3">
        <v>9</v>
      </c>
      <c r="BT128" s="19">
        <v>7</v>
      </c>
      <c r="BU128" s="3"/>
      <c r="BV128" s="19">
        <v>5</v>
      </c>
      <c r="BW128" s="19">
        <v>6</v>
      </c>
      <c r="BX128" s="19">
        <v>8</v>
      </c>
      <c r="BY128" s="19">
        <v>7</v>
      </c>
      <c r="BZ128" s="3">
        <v>9</v>
      </c>
      <c r="CA128" s="19">
        <v>5</v>
      </c>
      <c r="CB128" s="19">
        <v>5</v>
      </c>
      <c r="CC128" s="3"/>
      <c r="CD128" s="3">
        <v>9</v>
      </c>
      <c r="CE128" s="19">
        <v>4</v>
      </c>
      <c r="CF128" s="3">
        <v>7</v>
      </c>
      <c r="CG128" s="19">
        <v>9</v>
      </c>
      <c r="CH128" s="3">
        <v>8</v>
      </c>
      <c r="CI128" s="3">
        <v>7</v>
      </c>
      <c r="CJ128" s="3">
        <v>9</v>
      </c>
      <c r="CK128" s="3">
        <v>8</v>
      </c>
      <c r="CL128" s="3">
        <v>9</v>
      </c>
      <c r="CM128" s="3">
        <v>9</v>
      </c>
      <c r="CN128" s="3"/>
      <c r="CO128" s="3">
        <v>9</v>
      </c>
      <c r="CP128" s="3"/>
      <c r="CT128" s="3">
        <v>5</v>
      </c>
      <c r="CU128" s="3">
        <v>5</v>
      </c>
      <c r="CV128" s="3"/>
      <c r="CW128" s="3">
        <v>6</v>
      </c>
      <c r="CX128" s="3">
        <v>7</v>
      </c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R128" s="3"/>
    </row>
    <row r="129" spans="1:142" ht="15" customHeight="1" x14ac:dyDescent="0.25">
      <c r="A129" s="6" t="s">
        <v>268</v>
      </c>
      <c r="B129" s="2" t="s">
        <v>784</v>
      </c>
      <c r="C129" s="2" t="s">
        <v>1182</v>
      </c>
      <c r="D129" s="25" t="s">
        <v>1183</v>
      </c>
      <c r="E129" s="4" t="s">
        <v>946</v>
      </c>
      <c r="F129" s="4" t="s">
        <v>1100</v>
      </c>
      <c r="G129" s="26">
        <v>1958</v>
      </c>
      <c r="H129" s="5"/>
      <c r="I129" s="5"/>
      <c r="J129" s="4" t="s">
        <v>1179</v>
      </c>
      <c r="M129" s="5"/>
      <c r="N129" s="2" t="s">
        <v>1184</v>
      </c>
      <c r="O129" s="28" t="s">
        <v>2473</v>
      </c>
      <c r="P129" s="3"/>
      <c r="Q129" s="27">
        <v>2</v>
      </c>
      <c r="R129" s="19">
        <v>5</v>
      </c>
      <c r="S129" s="3">
        <v>1</v>
      </c>
      <c r="T129" s="3">
        <v>3</v>
      </c>
      <c r="U129" s="3">
        <v>9</v>
      </c>
      <c r="V129" s="3"/>
      <c r="W129" s="3"/>
      <c r="X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>
        <v>1</v>
      </c>
      <c r="AK129" s="3"/>
      <c r="AL129" s="3">
        <v>1</v>
      </c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>
        <v>1</v>
      </c>
      <c r="BA129" s="3"/>
      <c r="BB129" s="3">
        <v>9</v>
      </c>
      <c r="BC129" s="3"/>
      <c r="BD129" s="3"/>
      <c r="BE129" s="3"/>
      <c r="BF129" s="3"/>
      <c r="BG129" s="3"/>
      <c r="BH129" s="3"/>
      <c r="BI129" s="3"/>
      <c r="BJ129" s="3"/>
      <c r="BK129" s="3">
        <v>5</v>
      </c>
      <c r="BL129" s="3"/>
      <c r="BM129" s="3"/>
      <c r="BN129" s="3">
        <v>4</v>
      </c>
      <c r="BO129" s="3"/>
      <c r="BP129" s="3"/>
      <c r="BQ129" s="3">
        <v>9</v>
      </c>
      <c r="BR129" s="3">
        <v>9</v>
      </c>
      <c r="BS129" s="3">
        <v>9</v>
      </c>
      <c r="BT129" s="19">
        <v>9</v>
      </c>
      <c r="BU129" s="3">
        <v>5</v>
      </c>
      <c r="BV129" s="19">
        <v>9</v>
      </c>
      <c r="BW129" s="19">
        <v>9</v>
      </c>
      <c r="BX129" s="19">
        <v>9</v>
      </c>
      <c r="BY129" s="3"/>
      <c r="BZ129" s="19">
        <v>9</v>
      </c>
      <c r="CA129" s="19">
        <v>9</v>
      </c>
      <c r="CB129" s="19">
        <v>9</v>
      </c>
      <c r="CC129" s="19">
        <v>9</v>
      </c>
      <c r="CD129" s="3">
        <v>9</v>
      </c>
      <c r="CE129" s="19">
        <v>9</v>
      </c>
      <c r="CF129" s="3">
        <v>9</v>
      </c>
      <c r="CG129" s="3"/>
      <c r="CH129" s="3">
        <v>9</v>
      </c>
      <c r="CI129" s="3">
        <v>9</v>
      </c>
      <c r="CJ129" s="3">
        <v>9</v>
      </c>
      <c r="CK129" s="3">
        <v>9</v>
      </c>
      <c r="CL129" s="3">
        <v>9</v>
      </c>
      <c r="CM129" s="3" t="s">
        <v>1185</v>
      </c>
      <c r="CN129" s="3" t="s">
        <v>1185</v>
      </c>
      <c r="CO129" s="3" t="s">
        <v>1185</v>
      </c>
      <c r="CP129" s="3" t="s">
        <v>1185</v>
      </c>
      <c r="CQ129" s="3" t="s">
        <v>1185</v>
      </c>
      <c r="CR129" s="3" t="s">
        <v>1185</v>
      </c>
      <c r="CS129" s="3" t="s">
        <v>1185</v>
      </c>
      <c r="CT129" s="3">
        <v>9</v>
      </c>
      <c r="CU129" s="3">
        <v>8</v>
      </c>
      <c r="CV129" s="3">
        <v>5</v>
      </c>
      <c r="CW129" s="3">
        <v>9</v>
      </c>
      <c r="CX129" s="3">
        <v>9</v>
      </c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R129" s="3"/>
    </row>
    <row r="130" spans="1:142" ht="15" customHeight="1" x14ac:dyDescent="0.25">
      <c r="A130" s="6" t="s">
        <v>269</v>
      </c>
      <c r="B130" s="2" t="s">
        <v>784</v>
      </c>
      <c r="C130" s="2" t="s">
        <v>1186</v>
      </c>
      <c r="D130" s="25" t="s">
        <v>1183</v>
      </c>
      <c r="E130" s="4" t="s">
        <v>946</v>
      </c>
      <c r="F130" s="4" t="s">
        <v>1100</v>
      </c>
      <c r="G130" s="26">
        <v>1958</v>
      </c>
      <c r="H130" s="5"/>
      <c r="I130" s="5"/>
      <c r="J130" s="4" t="s">
        <v>1179</v>
      </c>
      <c r="M130" s="4" t="s">
        <v>1187</v>
      </c>
      <c r="N130" s="2" t="s">
        <v>1188</v>
      </c>
      <c r="O130" s="28" t="s">
        <v>2474</v>
      </c>
      <c r="P130" s="3"/>
      <c r="Q130" s="27">
        <v>2</v>
      </c>
      <c r="R130" s="3"/>
      <c r="S130" s="3">
        <v>1</v>
      </c>
      <c r="T130" s="3"/>
      <c r="U130" s="3">
        <v>9</v>
      </c>
      <c r="V130" s="3"/>
      <c r="W130" s="3"/>
      <c r="X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>
        <v>1</v>
      </c>
      <c r="AK130" s="3"/>
      <c r="AL130" s="3">
        <v>1</v>
      </c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>
        <v>1</v>
      </c>
      <c r="BA130" s="3"/>
      <c r="BB130" s="3">
        <v>9</v>
      </c>
      <c r="BC130" s="3"/>
      <c r="BD130" s="3"/>
      <c r="BE130" s="3"/>
      <c r="BF130" s="3"/>
      <c r="BG130" s="3"/>
      <c r="BH130" s="3"/>
      <c r="BI130" s="3"/>
      <c r="BJ130" s="3"/>
      <c r="BK130" s="3">
        <v>5</v>
      </c>
      <c r="BL130" s="3"/>
      <c r="BM130" s="3"/>
      <c r="BN130" s="3"/>
      <c r="BO130" s="3"/>
      <c r="BP130" s="3"/>
      <c r="BQ130" s="3">
        <v>5</v>
      </c>
      <c r="BR130" s="3">
        <v>9</v>
      </c>
      <c r="BS130" s="3">
        <v>9</v>
      </c>
      <c r="BT130" s="3"/>
      <c r="BU130" s="3">
        <v>7</v>
      </c>
      <c r="BV130" s="19">
        <v>5</v>
      </c>
      <c r="BW130" s="19">
        <v>8</v>
      </c>
      <c r="BX130" s="19">
        <v>9</v>
      </c>
      <c r="BY130" s="19">
        <v>9</v>
      </c>
      <c r="BZ130" s="3">
        <v>9</v>
      </c>
      <c r="CA130" s="19">
        <v>9</v>
      </c>
      <c r="CB130" s="19">
        <v>9</v>
      </c>
      <c r="CC130" s="3"/>
      <c r="CD130" s="3">
        <v>9</v>
      </c>
      <c r="CE130" s="19">
        <v>3</v>
      </c>
      <c r="CF130" s="3">
        <v>9</v>
      </c>
      <c r="CG130" s="19">
        <v>9</v>
      </c>
      <c r="CH130" s="3">
        <v>9</v>
      </c>
      <c r="CI130" s="3">
        <v>9</v>
      </c>
      <c r="CJ130" s="3">
        <v>9</v>
      </c>
      <c r="CK130" s="3">
        <v>9</v>
      </c>
      <c r="CL130" s="3">
        <v>9</v>
      </c>
      <c r="CM130" s="3">
        <v>9</v>
      </c>
      <c r="CN130" s="3" t="s">
        <v>1185</v>
      </c>
      <c r="CO130" s="3">
        <v>9</v>
      </c>
      <c r="CP130" s="3" t="s">
        <v>1185</v>
      </c>
      <c r="CQ130" s="3" t="s">
        <v>1185</v>
      </c>
      <c r="CR130" s="3" t="s">
        <v>1185</v>
      </c>
      <c r="CS130" s="3" t="s">
        <v>1185</v>
      </c>
      <c r="CT130" s="3">
        <v>6</v>
      </c>
      <c r="CU130" s="3">
        <v>5</v>
      </c>
      <c r="CV130" s="3">
        <v>8</v>
      </c>
      <c r="CW130" s="3">
        <v>9</v>
      </c>
      <c r="CX130" s="3">
        <v>9</v>
      </c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R130" s="3"/>
      <c r="EA130" s="3"/>
      <c r="EB130" s="3"/>
      <c r="EC130" s="3"/>
      <c r="ED130" s="3"/>
    </row>
    <row r="131" spans="1:142" ht="15" customHeight="1" x14ac:dyDescent="0.25">
      <c r="A131" s="6" t="s">
        <v>270</v>
      </c>
      <c r="B131" s="2" t="s">
        <v>784</v>
      </c>
      <c r="C131" s="2" t="s">
        <v>1189</v>
      </c>
      <c r="D131" s="25" t="s">
        <v>1183</v>
      </c>
      <c r="E131" s="4" t="s">
        <v>1190</v>
      </c>
      <c r="F131" s="4" t="s">
        <v>1191</v>
      </c>
      <c r="G131" s="26">
        <v>1960</v>
      </c>
      <c r="H131" s="5"/>
      <c r="I131" s="5"/>
      <c r="J131" s="5"/>
      <c r="M131" s="5"/>
      <c r="N131" s="2" t="s">
        <v>1192</v>
      </c>
      <c r="O131" s="28" t="s">
        <v>2475</v>
      </c>
      <c r="P131" s="3"/>
      <c r="Q131" s="27">
        <v>2</v>
      </c>
      <c r="R131" s="19">
        <v>4</v>
      </c>
      <c r="S131" s="3"/>
      <c r="T131" s="3">
        <v>3</v>
      </c>
      <c r="U131" s="3">
        <v>1</v>
      </c>
      <c r="V131" s="3"/>
      <c r="W131" s="3"/>
      <c r="X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>
        <v>9</v>
      </c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>
        <v>4</v>
      </c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 t="s">
        <v>1185</v>
      </c>
      <c r="CN131" s="3" t="s">
        <v>1185</v>
      </c>
      <c r="CO131" s="3" t="s">
        <v>1185</v>
      </c>
      <c r="CP131" s="3" t="s">
        <v>1185</v>
      </c>
      <c r="CR131" s="3" t="s">
        <v>1185</v>
      </c>
      <c r="CS131" s="3" t="s">
        <v>1185</v>
      </c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R131" s="3">
        <v>9</v>
      </c>
      <c r="DY131" s="3"/>
      <c r="DZ131" s="3"/>
    </row>
    <row r="132" spans="1:142" ht="15" customHeight="1" x14ac:dyDescent="0.25">
      <c r="A132" s="6" t="s">
        <v>271</v>
      </c>
      <c r="B132" s="2" t="s">
        <v>784</v>
      </c>
      <c r="C132" s="2" t="s">
        <v>1193</v>
      </c>
      <c r="D132" s="25" t="s">
        <v>1183</v>
      </c>
      <c r="E132" s="4" t="s">
        <v>1190</v>
      </c>
      <c r="F132" s="4" t="s">
        <v>1191</v>
      </c>
      <c r="G132" s="26">
        <v>1960</v>
      </c>
      <c r="H132" s="5"/>
      <c r="I132" s="5"/>
      <c r="J132" s="5"/>
      <c r="K132" s="3"/>
      <c r="M132" s="5"/>
      <c r="N132" s="2" t="s">
        <v>1194</v>
      </c>
      <c r="O132" s="28" t="s">
        <v>2476</v>
      </c>
      <c r="P132" s="3"/>
      <c r="Q132" s="27">
        <v>2</v>
      </c>
      <c r="R132" s="3"/>
      <c r="S132" s="3"/>
      <c r="T132" s="3"/>
      <c r="U132" s="3"/>
      <c r="V132" s="3"/>
      <c r="W132" s="3"/>
      <c r="X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>
        <v>9</v>
      </c>
      <c r="BR132" s="3"/>
      <c r="BS132" s="3">
        <v>9</v>
      </c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 t="s">
        <v>1185</v>
      </c>
      <c r="CN132" s="3" t="s">
        <v>1185</v>
      </c>
      <c r="CO132" s="3" t="s">
        <v>1185</v>
      </c>
      <c r="CP132" s="3" t="s">
        <v>1185</v>
      </c>
      <c r="CQ132" s="3" t="s">
        <v>1185</v>
      </c>
      <c r="CR132" s="3" t="s">
        <v>1185</v>
      </c>
      <c r="CS132" s="3" t="s">
        <v>1185</v>
      </c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R132" s="3">
        <v>9</v>
      </c>
      <c r="DS132" s="3"/>
      <c r="DT132" s="3"/>
      <c r="EE132" s="3"/>
      <c r="EF132" s="3"/>
      <c r="EG132" s="3"/>
      <c r="EH132" s="3"/>
      <c r="EI132" s="3"/>
      <c r="EJ132" s="3"/>
      <c r="EK132" s="3"/>
      <c r="EL132" s="3"/>
    </row>
    <row r="133" spans="1:142" ht="15" customHeight="1" x14ac:dyDescent="0.25">
      <c r="A133" s="6" t="s">
        <v>272</v>
      </c>
      <c r="B133" s="2" t="s">
        <v>784</v>
      </c>
      <c r="C133" s="2" t="s">
        <v>1195</v>
      </c>
      <c r="D133" s="25" t="s">
        <v>1183</v>
      </c>
      <c r="E133" s="4" t="s">
        <v>1190</v>
      </c>
      <c r="F133" s="4" t="s">
        <v>809</v>
      </c>
      <c r="G133" s="29"/>
      <c r="H133" s="5"/>
      <c r="I133" s="5"/>
      <c r="J133" s="5"/>
      <c r="K133" s="3"/>
      <c r="M133" s="5"/>
      <c r="N133" s="2" t="s">
        <v>1196</v>
      </c>
      <c r="O133" s="28" t="s">
        <v>2477</v>
      </c>
      <c r="P133" s="3"/>
      <c r="Q133" s="27">
        <v>2</v>
      </c>
      <c r="R133" s="3"/>
      <c r="S133" s="3">
        <v>1</v>
      </c>
      <c r="T133" s="3"/>
      <c r="U133" s="3"/>
      <c r="V133" s="3"/>
      <c r="W133" s="3">
        <v>4</v>
      </c>
      <c r="X133" s="3"/>
      <c r="Z133" s="3"/>
      <c r="AA133" s="3"/>
      <c r="AB133" s="3">
        <v>1</v>
      </c>
      <c r="AC133" s="3">
        <v>7</v>
      </c>
      <c r="AD133" s="3"/>
      <c r="AE133" s="3"/>
      <c r="AF133" s="3">
        <v>1</v>
      </c>
      <c r="AG133" s="3"/>
      <c r="AH133" s="3"/>
      <c r="AI133" s="3"/>
      <c r="AJ133" s="3">
        <v>1</v>
      </c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>
        <v>2</v>
      </c>
      <c r="AY133" s="3"/>
      <c r="AZ133" s="3">
        <v>1</v>
      </c>
      <c r="BA133" s="3">
        <v>1</v>
      </c>
      <c r="BB133" s="3">
        <v>9</v>
      </c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>
        <v>4</v>
      </c>
      <c r="BO133" s="3"/>
      <c r="BP133" s="3"/>
      <c r="BQ133" s="3">
        <v>9</v>
      </c>
      <c r="BR133" s="3"/>
      <c r="BS133" s="3">
        <v>9</v>
      </c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 t="s">
        <v>1185</v>
      </c>
      <c r="CN133" s="3" t="s">
        <v>1185</v>
      </c>
      <c r="CO133" s="3" t="s">
        <v>1185</v>
      </c>
      <c r="CP133" s="3" t="s">
        <v>1185</v>
      </c>
      <c r="CQ133" s="3" t="s">
        <v>1185</v>
      </c>
      <c r="CR133" s="3" t="s">
        <v>1185</v>
      </c>
      <c r="CS133" s="3" t="s">
        <v>1185</v>
      </c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19">
        <v>9</v>
      </c>
      <c r="DR133" s="3"/>
      <c r="DS133" s="3"/>
      <c r="DT133" s="3"/>
    </row>
    <row r="134" spans="1:142" ht="15" customHeight="1" x14ac:dyDescent="0.25">
      <c r="A134" s="6" t="s">
        <v>273</v>
      </c>
      <c r="B134" s="2" t="s">
        <v>784</v>
      </c>
      <c r="C134" s="2" t="s">
        <v>1197</v>
      </c>
      <c r="D134" s="25" t="s">
        <v>1183</v>
      </c>
      <c r="E134" s="4" t="s">
        <v>1190</v>
      </c>
      <c r="F134" s="5"/>
      <c r="G134" s="29"/>
      <c r="H134" s="5"/>
      <c r="J134" s="5"/>
      <c r="M134" s="5"/>
      <c r="N134" s="2" t="s">
        <v>1198</v>
      </c>
      <c r="O134" s="28" t="s">
        <v>2478</v>
      </c>
      <c r="P134" s="3"/>
      <c r="Q134" s="27">
        <v>2</v>
      </c>
      <c r="R134" s="19">
        <v>5</v>
      </c>
      <c r="S134" s="3"/>
      <c r="T134" s="3">
        <v>5</v>
      </c>
      <c r="U134" s="3">
        <v>1</v>
      </c>
      <c r="V134" s="3"/>
      <c r="W134" s="3"/>
      <c r="X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>
        <v>1</v>
      </c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>
        <v>9</v>
      </c>
      <c r="BN134" s="3"/>
      <c r="BO134" s="3"/>
      <c r="BP134" s="3"/>
      <c r="BQ134" s="3">
        <v>9</v>
      </c>
      <c r="BR134" s="3">
        <v>9</v>
      </c>
      <c r="BS134" s="3">
        <v>9</v>
      </c>
      <c r="BT134" s="19">
        <v>9</v>
      </c>
      <c r="BU134" s="3">
        <v>9</v>
      </c>
      <c r="BV134" s="19">
        <v>9</v>
      </c>
      <c r="BW134" s="19">
        <v>9</v>
      </c>
      <c r="BX134" s="19">
        <v>7</v>
      </c>
      <c r="BY134" s="3"/>
      <c r="BZ134" s="19">
        <v>9</v>
      </c>
      <c r="CA134" s="19">
        <v>7</v>
      </c>
      <c r="CB134" s="19">
        <v>9</v>
      </c>
      <c r="CC134" s="19">
        <v>9</v>
      </c>
      <c r="CD134" s="3">
        <v>9</v>
      </c>
      <c r="CE134" s="19">
        <v>8</v>
      </c>
      <c r="CF134" s="19">
        <v>9</v>
      </c>
      <c r="CG134" s="3"/>
      <c r="CH134" s="3">
        <v>9</v>
      </c>
      <c r="CI134" s="3">
        <v>9</v>
      </c>
      <c r="CJ134" s="19">
        <v>8</v>
      </c>
      <c r="CK134" s="19">
        <v>9</v>
      </c>
      <c r="CL134" s="19">
        <v>9</v>
      </c>
      <c r="CM134" s="19">
        <v>9</v>
      </c>
      <c r="CN134" s="3" t="s">
        <v>1185</v>
      </c>
      <c r="CO134" s="3" t="s">
        <v>1185</v>
      </c>
      <c r="CP134" s="3" t="s">
        <v>1185</v>
      </c>
      <c r="CQ134" s="3" t="s">
        <v>1185</v>
      </c>
      <c r="CR134" s="3" t="s">
        <v>1185</v>
      </c>
      <c r="CS134" s="3" t="s">
        <v>1185</v>
      </c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R134" s="3"/>
    </row>
    <row r="135" spans="1:142" ht="15" customHeight="1" x14ac:dyDescent="0.25">
      <c r="A135" s="6" t="s">
        <v>274</v>
      </c>
      <c r="B135" s="2" t="s">
        <v>784</v>
      </c>
      <c r="C135" s="2" t="s">
        <v>1199</v>
      </c>
      <c r="D135" s="25" t="s">
        <v>1183</v>
      </c>
      <c r="E135" s="4" t="s">
        <v>1190</v>
      </c>
      <c r="F135" s="5"/>
      <c r="G135" s="29"/>
      <c r="H135" s="5"/>
      <c r="J135" s="5"/>
      <c r="M135" s="5"/>
      <c r="N135" s="2" t="s">
        <v>1200</v>
      </c>
      <c r="O135" s="28" t="s">
        <v>2479</v>
      </c>
      <c r="P135" s="3"/>
      <c r="Q135" s="27">
        <v>2</v>
      </c>
      <c r="R135" s="19">
        <v>5</v>
      </c>
      <c r="S135" s="3">
        <v>2</v>
      </c>
      <c r="T135" s="3">
        <v>5</v>
      </c>
      <c r="U135" s="3">
        <v>9</v>
      </c>
      <c r="V135" s="3"/>
      <c r="W135" s="3">
        <v>4</v>
      </c>
      <c r="X135" s="3"/>
      <c r="Z135" s="3"/>
      <c r="AA135" s="3"/>
      <c r="AB135" s="3">
        <v>5</v>
      </c>
      <c r="AC135" s="3">
        <v>4</v>
      </c>
      <c r="AD135" s="3"/>
      <c r="AE135" s="3"/>
      <c r="AF135" s="3">
        <v>3</v>
      </c>
      <c r="AG135" s="3">
        <v>1</v>
      </c>
      <c r="AH135" s="3">
        <v>1</v>
      </c>
      <c r="AI135" s="3">
        <v>9</v>
      </c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>
        <v>9</v>
      </c>
      <c r="AX135" s="3"/>
      <c r="AY135" s="3">
        <v>9</v>
      </c>
      <c r="AZ135" s="3"/>
      <c r="BA135" s="3"/>
      <c r="BB135" s="3"/>
      <c r="BC135" s="3"/>
      <c r="BD135" s="3"/>
      <c r="BE135" s="3"/>
      <c r="BF135" s="3">
        <v>3.24</v>
      </c>
      <c r="BG135" s="3"/>
      <c r="BH135" s="3"/>
      <c r="BI135" s="3"/>
      <c r="BJ135" s="3"/>
      <c r="BK135" s="3"/>
      <c r="BL135" s="3"/>
      <c r="BM135" s="3">
        <v>9</v>
      </c>
      <c r="BN135" s="3"/>
      <c r="BO135" s="3"/>
      <c r="BP135" s="3"/>
      <c r="BQ135" s="3">
        <v>1</v>
      </c>
      <c r="BR135" s="3">
        <v>1</v>
      </c>
      <c r="BS135" s="3">
        <v>1</v>
      </c>
      <c r="BT135" s="3">
        <v>1</v>
      </c>
      <c r="BU135" s="3"/>
      <c r="BV135" s="3">
        <v>1</v>
      </c>
      <c r="BW135" s="3">
        <v>1</v>
      </c>
      <c r="BX135" s="3">
        <v>1</v>
      </c>
      <c r="BY135" s="3">
        <v>1</v>
      </c>
      <c r="BZ135" s="3">
        <v>1</v>
      </c>
      <c r="CA135" s="3">
        <v>1</v>
      </c>
      <c r="CB135" s="3">
        <v>1</v>
      </c>
      <c r="CC135" s="3">
        <v>2</v>
      </c>
      <c r="CD135" s="3">
        <v>2</v>
      </c>
      <c r="CE135" s="19">
        <v>1</v>
      </c>
      <c r="CF135" s="19">
        <v>1</v>
      </c>
      <c r="CG135" s="3"/>
      <c r="CH135" s="3">
        <v>1</v>
      </c>
      <c r="CI135" s="3">
        <v>1</v>
      </c>
      <c r="CJ135" s="19">
        <v>1</v>
      </c>
      <c r="CK135" s="19">
        <v>1</v>
      </c>
      <c r="CL135" s="19">
        <v>1</v>
      </c>
      <c r="CM135" s="19">
        <v>1</v>
      </c>
      <c r="CN135" s="3" t="s">
        <v>1185</v>
      </c>
      <c r="CO135" s="3"/>
      <c r="CP135" s="3"/>
      <c r="CQ135" s="3" t="s">
        <v>1185</v>
      </c>
      <c r="CR135" s="3" t="s">
        <v>1185</v>
      </c>
      <c r="CS135" s="3" t="s">
        <v>1185</v>
      </c>
      <c r="CT135" s="3"/>
      <c r="CU135" s="3"/>
      <c r="CV135" s="3"/>
      <c r="CW135" s="3"/>
      <c r="CX135" s="3"/>
      <c r="CY135" s="3"/>
      <c r="CZ135" s="3">
        <v>7</v>
      </c>
      <c r="DA135" s="3">
        <v>9</v>
      </c>
      <c r="DB135" s="3">
        <v>1</v>
      </c>
      <c r="DC135" s="3">
        <v>7</v>
      </c>
      <c r="DD135" s="3">
        <v>7</v>
      </c>
      <c r="DE135" s="3">
        <v>1</v>
      </c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R135" s="3"/>
      <c r="DU135" s="3"/>
      <c r="DV135" s="3"/>
      <c r="DW135" s="3"/>
      <c r="DX135" s="3"/>
      <c r="DY135" s="3"/>
      <c r="DZ135" s="3"/>
    </row>
    <row r="136" spans="1:142" ht="15" customHeight="1" x14ac:dyDescent="0.25">
      <c r="A136" s="6" t="s">
        <v>275</v>
      </c>
      <c r="B136" s="2" t="s">
        <v>784</v>
      </c>
      <c r="C136" s="2" t="s">
        <v>1201</v>
      </c>
      <c r="D136" s="25" t="s">
        <v>1183</v>
      </c>
      <c r="E136" s="4" t="s">
        <v>946</v>
      </c>
      <c r="F136" s="5"/>
      <c r="G136" s="26">
        <v>1974</v>
      </c>
      <c r="H136" s="5"/>
      <c r="J136" s="4" t="s">
        <v>1179</v>
      </c>
      <c r="M136" s="5"/>
      <c r="N136" s="2" t="s">
        <v>1202</v>
      </c>
      <c r="O136" s="28" t="s">
        <v>2480</v>
      </c>
      <c r="P136" s="3"/>
      <c r="Q136" s="27">
        <v>2</v>
      </c>
      <c r="R136" s="3"/>
      <c r="S136" s="3"/>
      <c r="T136" s="3"/>
      <c r="U136" s="3"/>
      <c r="V136" s="3"/>
      <c r="W136" s="3">
        <v>3</v>
      </c>
      <c r="X136" s="3"/>
      <c r="Z136" s="3"/>
      <c r="AA136" s="3"/>
      <c r="AB136" s="3">
        <v>1</v>
      </c>
      <c r="AC136" s="3">
        <v>4</v>
      </c>
      <c r="AD136" s="3"/>
      <c r="AE136" s="3"/>
      <c r="AF136" s="3"/>
      <c r="AG136" s="3"/>
      <c r="AH136" s="3"/>
      <c r="AI136" s="3"/>
      <c r="AJ136" s="3">
        <v>1</v>
      </c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>
        <v>2</v>
      </c>
      <c r="AY136" s="3"/>
      <c r="AZ136" s="3">
        <v>1</v>
      </c>
      <c r="BA136" s="3">
        <v>1</v>
      </c>
      <c r="BB136" s="3">
        <v>9</v>
      </c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>
        <v>9</v>
      </c>
      <c r="BN136" s="3"/>
      <c r="BO136" s="3"/>
      <c r="BP136" s="3"/>
      <c r="BQ136" s="3">
        <v>9</v>
      </c>
      <c r="BR136" s="3">
        <v>9</v>
      </c>
      <c r="BS136" s="3">
        <v>1</v>
      </c>
      <c r="BT136" s="19">
        <v>9</v>
      </c>
      <c r="BU136" s="3">
        <v>1</v>
      </c>
      <c r="BV136" s="19">
        <v>8</v>
      </c>
      <c r="BW136" s="19">
        <v>9</v>
      </c>
      <c r="BX136" s="19">
        <v>5</v>
      </c>
      <c r="BY136" s="3"/>
      <c r="BZ136" s="3">
        <v>1</v>
      </c>
      <c r="CA136" s="19">
        <v>1</v>
      </c>
      <c r="CB136" s="19">
        <v>8</v>
      </c>
      <c r="CC136" s="3">
        <v>8</v>
      </c>
      <c r="CD136" s="3">
        <v>9</v>
      </c>
      <c r="CE136" s="19">
        <v>2</v>
      </c>
      <c r="CF136" s="19">
        <v>6</v>
      </c>
      <c r="CG136" s="3"/>
      <c r="CH136" s="3">
        <v>9</v>
      </c>
      <c r="CI136" s="3">
        <v>9</v>
      </c>
      <c r="CJ136" s="19">
        <v>9</v>
      </c>
      <c r="CK136" s="19">
        <v>9</v>
      </c>
      <c r="CL136" s="3">
        <v>9</v>
      </c>
      <c r="CM136" s="3"/>
      <c r="CN136" s="3">
        <v>6</v>
      </c>
      <c r="CO136" s="3">
        <v>9</v>
      </c>
      <c r="CP136" s="3">
        <v>9</v>
      </c>
      <c r="CQ136" s="3" t="s">
        <v>1185</v>
      </c>
      <c r="CR136" s="3" t="s">
        <v>1185</v>
      </c>
      <c r="CS136" s="3" t="s">
        <v>1185</v>
      </c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R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</row>
    <row r="137" spans="1:142" ht="15" customHeight="1" x14ac:dyDescent="0.25">
      <c r="A137" s="6" t="s">
        <v>276</v>
      </c>
      <c r="B137" s="2" t="s">
        <v>784</v>
      </c>
      <c r="C137" s="2" t="s">
        <v>1203</v>
      </c>
      <c r="D137" s="25" t="s">
        <v>1183</v>
      </c>
      <c r="E137" s="4" t="s">
        <v>1190</v>
      </c>
      <c r="F137" s="4" t="s">
        <v>1204</v>
      </c>
      <c r="G137" s="26">
        <v>1975</v>
      </c>
      <c r="H137" s="5"/>
      <c r="J137" s="5"/>
      <c r="M137" s="5"/>
      <c r="N137" s="2" t="s">
        <v>1205</v>
      </c>
      <c r="O137" s="28" t="s">
        <v>2481</v>
      </c>
      <c r="P137" s="3"/>
      <c r="Q137" s="27">
        <v>2</v>
      </c>
      <c r="R137" s="19">
        <v>5</v>
      </c>
      <c r="S137" s="3">
        <v>2</v>
      </c>
      <c r="T137" s="3">
        <v>5</v>
      </c>
      <c r="U137" s="3">
        <v>9</v>
      </c>
      <c r="V137" s="3"/>
      <c r="W137" s="3"/>
      <c r="X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>
        <v>9</v>
      </c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>
        <v>4</v>
      </c>
      <c r="BO137" s="3"/>
      <c r="BP137" s="3">
        <v>8</v>
      </c>
      <c r="BQ137" s="3">
        <v>9</v>
      </c>
      <c r="BR137" s="3"/>
      <c r="BS137" s="3">
        <v>9</v>
      </c>
      <c r="BT137" s="3"/>
      <c r="BU137" s="3"/>
      <c r="BV137" s="3"/>
      <c r="BW137" s="3"/>
      <c r="BX137" s="3"/>
      <c r="BY137" s="3"/>
      <c r="BZ137" s="3">
        <v>9</v>
      </c>
      <c r="CA137" s="3"/>
      <c r="CB137" s="3"/>
      <c r="CC137" s="3">
        <v>9</v>
      </c>
      <c r="CD137" s="3">
        <v>9</v>
      </c>
      <c r="CE137" s="3"/>
      <c r="CF137" s="3"/>
      <c r="CG137" s="3"/>
      <c r="CH137" s="3"/>
      <c r="CI137" s="3"/>
      <c r="CJ137" s="3"/>
      <c r="CK137" s="3"/>
      <c r="CL137" s="3"/>
      <c r="CM137" s="3" t="s">
        <v>1185</v>
      </c>
      <c r="CN137" s="3"/>
      <c r="CO137" s="3" t="s">
        <v>1185</v>
      </c>
      <c r="CP137" s="3" t="s">
        <v>1185</v>
      </c>
      <c r="CQ137" s="3" t="s">
        <v>1185</v>
      </c>
      <c r="CS137" s="3" t="s">
        <v>1185</v>
      </c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R137" s="3">
        <v>9</v>
      </c>
    </row>
    <row r="138" spans="1:142" ht="15" customHeight="1" x14ac:dyDescent="0.25">
      <c r="A138" s="6" t="s">
        <v>277</v>
      </c>
      <c r="B138" s="2" t="s">
        <v>784</v>
      </c>
      <c r="C138" s="2" t="s">
        <v>1206</v>
      </c>
      <c r="D138" s="25" t="s">
        <v>1183</v>
      </c>
      <c r="E138" s="4" t="s">
        <v>1190</v>
      </c>
      <c r="F138" s="5"/>
      <c r="G138" s="29"/>
      <c r="H138" s="5"/>
      <c r="J138" s="5"/>
      <c r="M138" s="5"/>
      <c r="N138" s="2" t="s">
        <v>1207</v>
      </c>
      <c r="O138" s="28" t="s">
        <v>2482</v>
      </c>
      <c r="P138" s="3"/>
      <c r="Q138" s="27">
        <v>2</v>
      </c>
      <c r="R138" s="19">
        <v>7</v>
      </c>
      <c r="S138" s="3"/>
      <c r="T138" s="3">
        <v>5</v>
      </c>
      <c r="U138" s="3">
        <v>1</v>
      </c>
      <c r="V138" s="3"/>
      <c r="W138" s="3"/>
      <c r="X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>
        <v>1</v>
      </c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>
        <v>9</v>
      </c>
      <c r="BN138" s="3"/>
      <c r="BO138" s="3"/>
      <c r="BP138" s="3"/>
      <c r="BQ138" s="3">
        <v>9</v>
      </c>
      <c r="BR138" s="3">
        <v>9</v>
      </c>
      <c r="BS138" s="3">
        <v>9</v>
      </c>
      <c r="BT138" s="19">
        <v>9</v>
      </c>
      <c r="BU138" s="3">
        <v>9</v>
      </c>
      <c r="BV138" s="19">
        <v>9</v>
      </c>
      <c r="BW138" s="19">
        <v>9</v>
      </c>
      <c r="BX138" s="19">
        <v>9</v>
      </c>
      <c r="BY138" s="3"/>
      <c r="BZ138" s="19">
        <v>9</v>
      </c>
      <c r="CA138" s="19">
        <v>9</v>
      </c>
      <c r="CB138" s="19">
        <v>9</v>
      </c>
      <c r="CC138" s="19">
        <v>9</v>
      </c>
      <c r="CD138" s="3">
        <v>9</v>
      </c>
      <c r="CE138" s="19">
        <v>9</v>
      </c>
      <c r="CF138" s="19">
        <v>9</v>
      </c>
      <c r="CG138" s="3"/>
      <c r="CH138" s="3">
        <v>9</v>
      </c>
      <c r="CI138" s="3">
        <v>8</v>
      </c>
      <c r="CJ138" s="19">
        <v>9</v>
      </c>
      <c r="CK138" s="19">
        <v>9</v>
      </c>
      <c r="CL138" s="19">
        <v>9</v>
      </c>
      <c r="CM138" s="19">
        <v>8</v>
      </c>
      <c r="CN138" s="3" t="s">
        <v>1185</v>
      </c>
      <c r="CO138" s="3" t="s">
        <v>1185</v>
      </c>
      <c r="CP138" s="3" t="s">
        <v>1185</v>
      </c>
      <c r="CQ138" s="3" t="s">
        <v>1185</v>
      </c>
      <c r="CR138" s="3" t="s">
        <v>1185</v>
      </c>
      <c r="CS138" s="3" t="s">
        <v>1185</v>
      </c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R138" s="3"/>
      <c r="DX138" s="3"/>
    </row>
    <row r="139" spans="1:142" ht="15" customHeight="1" x14ac:dyDescent="0.25">
      <c r="A139" s="6" t="s">
        <v>278</v>
      </c>
      <c r="B139" s="2" t="s">
        <v>784</v>
      </c>
      <c r="C139" s="2" t="s">
        <v>1208</v>
      </c>
      <c r="D139" s="25" t="s">
        <v>1183</v>
      </c>
      <c r="E139" s="4" t="s">
        <v>1190</v>
      </c>
      <c r="F139" s="4" t="s">
        <v>1209</v>
      </c>
      <c r="G139" s="26">
        <v>1976</v>
      </c>
      <c r="H139" s="4" t="s">
        <v>129</v>
      </c>
      <c r="J139" s="5"/>
      <c r="M139" s="4" t="s">
        <v>1210</v>
      </c>
      <c r="N139" s="2" t="s">
        <v>1211</v>
      </c>
      <c r="O139" s="28" t="s">
        <v>2483</v>
      </c>
      <c r="P139" s="3"/>
      <c r="Q139" s="27">
        <v>2</v>
      </c>
      <c r="R139" s="19">
        <v>5</v>
      </c>
      <c r="S139" s="3">
        <v>2</v>
      </c>
      <c r="T139" s="3">
        <v>5</v>
      </c>
      <c r="U139" s="3">
        <v>9</v>
      </c>
      <c r="V139" s="3"/>
      <c r="W139" s="3"/>
      <c r="X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>
        <v>9</v>
      </c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>
        <v>1</v>
      </c>
      <c r="BR139" s="3">
        <v>1</v>
      </c>
      <c r="BS139" s="3">
        <v>9</v>
      </c>
      <c r="BT139" s="3">
        <v>3</v>
      </c>
      <c r="BU139" s="3">
        <v>9</v>
      </c>
      <c r="BV139" s="3">
        <v>1</v>
      </c>
      <c r="BW139" s="3">
        <v>1</v>
      </c>
      <c r="BX139" s="3">
        <v>7</v>
      </c>
      <c r="BY139" s="3">
        <v>9</v>
      </c>
      <c r="BZ139" s="3">
        <v>9</v>
      </c>
      <c r="CA139" s="3">
        <v>1</v>
      </c>
      <c r="CB139" s="3">
        <v>3</v>
      </c>
      <c r="CC139" s="3">
        <v>1</v>
      </c>
      <c r="CD139" s="3">
        <v>1</v>
      </c>
      <c r="CE139" s="3"/>
      <c r="CF139" s="3"/>
      <c r="CG139" s="3"/>
      <c r="CH139" s="3"/>
      <c r="CI139" s="3"/>
      <c r="CJ139" s="3"/>
      <c r="CK139" s="3"/>
      <c r="CL139" s="3"/>
      <c r="CM139" s="3" t="s">
        <v>1185</v>
      </c>
      <c r="CN139" s="3" t="s">
        <v>1185</v>
      </c>
      <c r="CO139" s="3" t="s">
        <v>1185</v>
      </c>
      <c r="CP139" s="3" t="s">
        <v>1185</v>
      </c>
      <c r="CQ139" s="3" t="s">
        <v>1185</v>
      </c>
      <c r="CR139" s="3" t="s">
        <v>1185</v>
      </c>
      <c r="CS139" s="3" t="s">
        <v>1185</v>
      </c>
      <c r="CT139" s="3"/>
      <c r="CU139" s="3"/>
      <c r="CV139" s="3"/>
      <c r="CW139" s="3"/>
      <c r="CX139" s="3"/>
      <c r="CY139" s="3"/>
      <c r="CZ139" s="3">
        <v>9</v>
      </c>
      <c r="DA139" s="3">
        <v>9</v>
      </c>
      <c r="DB139" s="3">
        <v>1</v>
      </c>
      <c r="DC139" s="3"/>
      <c r="DD139" s="3"/>
      <c r="DE139" s="3">
        <v>1</v>
      </c>
      <c r="DF139" s="3"/>
      <c r="DG139" s="3"/>
      <c r="DH139" s="3"/>
      <c r="DI139" s="3"/>
      <c r="DJ139" s="3"/>
      <c r="DK139" s="3"/>
      <c r="DL139" s="3">
        <v>2</v>
      </c>
      <c r="DM139" s="3">
        <v>9</v>
      </c>
      <c r="DN139" s="3">
        <v>9</v>
      </c>
      <c r="DO139" s="3">
        <v>1</v>
      </c>
      <c r="DP139" s="3"/>
      <c r="DR139" s="3"/>
      <c r="DU139" s="3"/>
      <c r="EB139" s="3"/>
      <c r="EC139" s="3"/>
      <c r="ED139" s="3"/>
    </row>
    <row r="140" spans="1:142" ht="15" customHeight="1" x14ac:dyDescent="0.25">
      <c r="A140" s="6" t="s">
        <v>279</v>
      </c>
      <c r="B140" s="2" t="s">
        <v>784</v>
      </c>
      <c r="C140" s="2" t="s">
        <v>1212</v>
      </c>
      <c r="D140" s="25" t="s">
        <v>1183</v>
      </c>
      <c r="E140" s="4" t="s">
        <v>1190</v>
      </c>
      <c r="F140" s="4" t="s">
        <v>1209</v>
      </c>
      <c r="G140" s="26">
        <v>1976</v>
      </c>
      <c r="H140" s="5"/>
      <c r="J140" s="5"/>
      <c r="M140" s="5"/>
      <c r="N140" s="2" t="s">
        <v>1213</v>
      </c>
      <c r="O140" s="28" t="s">
        <v>2484</v>
      </c>
      <c r="P140" s="3"/>
      <c r="Q140" s="27">
        <v>2</v>
      </c>
      <c r="R140" s="3"/>
      <c r="S140" s="3"/>
      <c r="T140" s="3"/>
      <c r="U140" s="3"/>
      <c r="V140" s="3"/>
      <c r="W140" s="3"/>
      <c r="X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>
        <v>9</v>
      </c>
      <c r="BN140" s="3"/>
      <c r="BO140" s="3"/>
      <c r="BP140" s="3"/>
      <c r="BQ140" s="3">
        <v>9</v>
      </c>
      <c r="BR140" s="3">
        <v>9</v>
      </c>
      <c r="BS140" s="3">
        <v>9</v>
      </c>
      <c r="BT140" s="19">
        <v>9</v>
      </c>
      <c r="BU140" s="3">
        <v>9</v>
      </c>
      <c r="BV140" s="19">
        <v>6</v>
      </c>
      <c r="BW140" s="19">
        <v>9</v>
      </c>
      <c r="BX140" s="3"/>
      <c r="BY140" s="3"/>
      <c r="BZ140" s="19">
        <v>9</v>
      </c>
      <c r="CA140" s="19">
        <v>7</v>
      </c>
      <c r="CB140" s="19">
        <v>8</v>
      </c>
      <c r="CC140" s="19">
        <v>7</v>
      </c>
      <c r="CD140" s="3">
        <v>8</v>
      </c>
      <c r="CE140" s="3"/>
      <c r="CF140" s="19">
        <v>9</v>
      </c>
      <c r="CG140" s="3"/>
      <c r="CH140" s="3">
        <v>9</v>
      </c>
      <c r="CI140" s="3">
        <v>8</v>
      </c>
      <c r="CJ140" s="19">
        <v>8</v>
      </c>
      <c r="CK140" s="19">
        <v>9</v>
      </c>
      <c r="CL140" s="19">
        <v>9</v>
      </c>
      <c r="CM140" s="19">
        <v>8</v>
      </c>
      <c r="CN140" s="3" t="s">
        <v>1185</v>
      </c>
      <c r="CO140" s="3" t="s">
        <v>1185</v>
      </c>
      <c r="CP140" s="3" t="s">
        <v>1185</v>
      </c>
      <c r="CQ140" s="3" t="s">
        <v>1185</v>
      </c>
      <c r="CR140" s="3" t="s">
        <v>1185</v>
      </c>
      <c r="CS140" s="3" t="s">
        <v>1185</v>
      </c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R140" s="3">
        <v>9</v>
      </c>
      <c r="DX140" s="3"/>
    </row>
    <row r="141" spans="1:142" ht="15" customHeight="1" x14ac:dyDescent="0.25">
      <c r="A141" s="6" t="s">
        <v>280</v>
      </c>
      <c r="B141" s="2" t="s">
        <v>784</v>
      </c>
      <c r="C141" s="2" t="s">
        <v>1214</v>
      </c>
      <c r="D141" s="25" t="s">
        <v>1183</v>
      </c>
      <c r="E141" s="4" t="s">
        <v>1190</v>
      </c>
      <c r="F141" s="4" t="s">
        <v>1209</v>
      </c>
      <c r="G141" s="26">
        <v>1976</v>
      </c>
      <c r="H141" s="5"/>
      <c r="J141" s="5"/>
      <c r="M141" s="5"/>
      <c r="N141" s="2" t="s">
        <v>1215</v>
      </c>
      <c r="O141" s="28" t="s">
        <v>2485</v>
      </c>
      <c r="P141" s="3"/>
      <c r="Q141" s="27">
        <v>2</v>
      </c>
      <c r="R141" s="19">
        <v>5</v>
      </c>
      <c r="S141" s="3">
        <v>2</v>
      </c>
      <c r="T141" s="3">
        <v>5</v>
      </c>
      <c r="U141" s="3">
        <v>9</v>
      </c>
      <c r="V141" s="3"/>
      <c r="W141" s="3">
        <v>3</v>
      </c>
      <c r="X141" s="3"/>
      <c r="Z141" s="3"/>
      <c r="AA141" s="3"/>
      <c r="AB141" s="3">
        <v>1</v>
      </c>
      <c r="AC141" s="3"/>
      <c r="AD141" s="3"/>
      <c r="AE141" s="3"/>
      <c r="AF141" s="3">
        <v>1</v>
      </c>
      <c r="AG141" s="3"/>
      <c r="AH141" s="3"/>
      <c r="AI141" s="3"/>
      <c r="AJ141" s="3">
        <v>4</v>
      </c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>
        <v>2</v>
      </c>
      <c r="AY141" s="3"/>
      <c r="AZ141" s="3">
        <v>2</v>
      </c>
      <c r="BA141" s="3">
        <v>1</v>
      </c>
      <c r="BB141" s="3">
        <v>9</v>
      </c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>
        <v>9</v>
      </c>
      <c r="BN141" s="3"/>
      <c r="BO141" s="3"/>
      <c r="BP141" s="3"/>
      <c r="BQ141" s="3">
        <v>8</v>
      </c>
      <c r="BR141" s="3"/>
      <c r="BS141" s="3">
        <v>9</v>
      </c>
      <c r="BT141" s="19">
        <v>7</v>
      </c>
      <c r="BU141" s="3">
        <v>6</v>
      </c>
      <c r="BV141" s="19">
        <v>5</v>
      </c>
      <c r="BW141" s="19">
        <v>7</v>
      </c>
      <c r="BX141" s="3"/>
      <c r="BY141" s="19">
        <v>9</v>
      </c>
      <c r="BZ141" s="19">
        <v>8</v>
      </c>
      <c r="CA141" s="19">
        <v>6</v>
      </c>
      <c r="CB141" s="19">
        <v>8</v>
      </c>
      <c r="CC141" s="19">
        <v>8</v>
      </c>
      <c r="CD141" s="3">
        <v>9</v>
      </c>
      <c r="CE141" s="19">
        <v>9</v>
      </c>
      <c r="CF141" s="3">
        <v>7</v>
      </c>
      <c r="CG141" s="19">
        <v>7</v>
      </c>
      <c r="CH141" s="3">
        <v>7</v>
      </c>
      <c r="CI141" s="3">
        <v>9</v>
      </c>
      <c r="CJ141" s="3">
        <v>9</v>
      </c>
      <c r="CK141" s="3">
        <v>9</v>
      </c>
      <c r="CL141" s="3">
        <v>9</v>
      </c>
      <c r="CM141" s="3" t="s">
        <v>1185</v>
      </c>
      <c r="CN141" s="3" t="s">
        <v>1185</v>
      </c>
      <c r="CO141" s="3" t="s">
        <v>1185</v>
      </c>
      <c r="CP141" s="3" t="s">
        <v>1185</v>
      </c>
      <c r="CQ141" s="3" t="s">
        <v>1185</v>
      </c>
      <c r="CR141" s="3" t="s">
        <v>1185</v>
      </c>
      <c r="CS141" s="3" t="s">
        <v>1185</v>
      </c>
      <c r="CT141" s="3">
        <v>8</v>
      </c>
      <c r="CU141" s="3">
        <v>9</v>
      </c>
      <c r="CV141" s="3"/>
      <c r="CW141" s="3">
        <v>9</v>
      </c>
      <c r="CX141" s="3">
        <v>9</v>
      </c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R141" s="3"/>
    </row>
    <row r="142" spans="1:142" ht="15" customHeight="1" x14ac:dyDescent="0.25">
      <c r="A142" s="6" t="s">
        <v>281</v>
      </c>
      <c r="B142" s="2" t="s">
        <v>784</v>
      </c>
      <c r="C142" s="2" t="s">
        <v>1216</v>
      </c>
      <c r="D142" s="25" t="s">
        <v>1183</v>
      </c>
      <c r="E142" s="4" t="s">
        <v>1190</v>
      </c>
      <c r="F142" s="4" t="s">
        <v>813</v>
      </c>
      <c r="G142" s="26">
        <v>1982</v>
      </c>
      <c r="H142" s="5"/>
      <c r="J142" s="5"/>
      <c r="M142" s="5"/>
      <c r="N142" s="2" t="s">
        <v>1217</v>
      </c>
      <c r="O142" s="28" t="s">
        <v>2486</v>
      </c>
      <c r="P142" s="3"/>
      <c r="Q142" s="27">
        <v>2</v>
      </c>
      <c r="R142" s="3"/>
      <c r="S142" s="3"/>
      <c r="T142" s="3"/>
      <c r="U142" s="3"/>
      <c r="V142" s="3"/>
      <c r="W142" s="3"/>
      <c r="X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>
        <v>9</v>
      </c>
      <c r="BR142" s="3"/>
      <c r="BS142" s="3">
        <v>9</v>
      </c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 t="s">
        <v>1185</v>
      </c>
      <c r="CN142" s="3" t="s">
        <v>1185</v>
      </c>
      <c r="CO142" s="3" t="s">
        <v>1185</v>
      </c>
      <c r="CP142" s="3" t="s">
        <v>1185</v>
      </c>
      <c r="CQ142" s="3" t="s">
        <v>1185</v>
      </c>
      <c r="CS142" s="3" t="s">
        <v>1185</v>
      </c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R142" s="3">
        <v>9</v>
      </c>
    </row>
    <row r="143" spans="1:142" ht="15" customHeight="1" x14ac:dyDescent="0.25">
      <c r="A143" s="6" t="s">
        <v>282</v>
      </c>
      <c r="B143" s="2" t="s">
        <v>784</v>
      </c>
      <c r="C143" s="2" t="s">
        <v>1218</v>
      </c>
      <c r="D143" s="25" t="s">
        <v>1183</v>
      </c>
      <c r="E143" s="4" t="s">
        <v>1190</v>
      </c>
      <c r="F143" s="4" t="s">
        <v>1219</v>
      </c>
      <c r="G143" s="26">
        <v>1983</v>
      </c>
      <c r="H143" s="5"/>
      <c r="J143" s="5"/>
      <c r="M143" s="5"/>
      <c r="N143" s="2" t="s">
        <v>1220</v>
      </c>
      <c r="O143" s="28" t="s">
        <v>2487</v>
      </c>
      <c r="P143" s="3"/>
      <c r="Q143" s="27">
        <v>2</v>
      </c>
      <c r="R143" s="3"/>
      <c r="S143" s="3"/>
      <c r="T143" s="3"/>
      <c r="U143" s="3"/>
      <c r="V143" s="3"/>
      <c r="W143" s="3"/>
      <c r="X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>
        <v>4</v>
      </c>
      <c r="BO143" s="3"/>
      <c r="BP143" s="3"/>
      <c r="BQ143" s="3">
        <v>7</v>
      </c>
      <c r="BR143" s="3"/>
      <c r="BS143" s="3">
        <v>9</v>
      </c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 t="s">
        <v>1185</v>
      </c>
      <c r="CN143" s="3" t="s">
        <v>1185</v>
      </c>
      <c r="CO143" s="3" t="s">
        <v>1185</v>
      </c>
      <c r="CP143" s="3"/>
      <c r="CQ143" s="3" t="s">
        <v>1185</v>
      </c>
      <c r="CR143" s="3" t="s">
        <v>1185</v>
      </c>
      <c r="CS143" s="3" t="s">
        <v>1185</v>
      </c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R143" s="3">
        <v>9</v>
      </c>
      <c r="EB143" s="3"/>
      <c r="EC143" s="3"/>
      <c r="ED143" s="3"/>
    </row>
    <row r="144" spans="1:142" ht="15" customHeight="1" x14ac:dyDescent="0.25">
      <c r="A144" s="6" t="s">
        <v>283</v>
      </c>
      <c r="B144" s="2" t="s">
        <v>784</v>
      </c>
      <c r="C144" s="2" t="s">
        <v>1221</v>
      </c>
      <c r="D144" s="25" t="s">
        <v>1183</v>
      </c>
      <c r="E144" s="4" t="s">
        <v>1190</v>
      </c>
      <c r="F144" s="4" t="s">
        <v>1222</v>
      </c>
      <c r="G144" s="26">
        <v>1983</v>
      </c>
      <c r="H144" s="5"/>
      <c r="J144" s="5"/>
      <c r="M144" s="5"/>
      <c r="N144" s="2" t="s">
        <v>1223</v>
      </c>
      <c r="O144" s="28" t="s">
        <v>2488</v>
      </c>
      <c r="P144" s="3"/>
      <c r="Q144" s="27">
        <v>2</v>
      </c>
      <c r="R144" s="3"/>
      <c r="S144" s="3"/>
      <c r="T144" s="3"/>
      <c r="U144" s="3"/>
      <c r="V144" s="3"/>
      <c r="W144" s="3"/>
      <c r="X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>
        <v>9</v>
      </c>
      <c r="BR144" s="3"/>
      <c r="BS144" s="3">
        <v>9</v>
      </c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 t="s">
        <v>1185</v>
      </c>
      <c r="CN144" s="3" t="s">
        <v>1185</v>
      </c>
      <c r="CO144" s="3" t="s">
        <v>1185</v>
      </c>
      <c r="CP144" s="3" t="s">
        <v>1185</v>
      </c>
      <c r="CQ144" s="3" t="s">
        <v>1185</v>
      </c>
      <c r="CR144" s="3" t="s">
        <v>1185</v>
      </c>
      <c r="CS144" s="3" t="s">
        <v>1185</v>
      </c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R144" s="3">
        <v>3</v>
      </c>
    </row>
    <row r="145" spans="1:134" ht="15" customHeight="1" x14ac:dyDescent="0.25">
      <c r="A145" s="6" t="s">
        <v>284</v>
      </c>
      <c r="B145" s="2" t="s">
        <v>784</v>
      </c>
      <c r="C145" s="2" t="s">
        <v>1224</v>
      </c>
      <c r="D145" s="25" t="s">
        <v>1183</v>
      </c>
      <c r="E145" s="4" t="s">
        <v>1190</v>
      </c>
      <c r="F145" s="4" t="s">
        <v>1225</v>
      </c>
      <c r="G145" s="26">
        <v>1984</v>
      </c>
      <c r="H145" s="5"/>
      <c r="J145" s="5"/>
      <c r="M145" s="5"/>
      <c r="N145" s="2" t="s">
        <v>1226</v>
      </c>
      <c r="O145" s="28" t="s">
        <v>2489</v>
      </c>
      <c r="P145" s="3"/>
      <c r="Q145" s="27">
        <v>2</v>
      </c>
      <c r="R145" s="3"/>
      <c r="S145" s="3">
        <v>1</v>
      </c>
      <c r="T145" s="3"/>
      <c r="U145" s="3"/>
      <c r="V145" s="3"/>
      <c r="W145" s="3">
        <v>4</v>
      </c>
      <c r="X145" s="3"/>
      <c r="Z145" s="3"/>
      <c r="AA145" s="3"/>
      <c r="AB145" s="3">
        <v>7</v>
      </c>
      <c r="AC145" s="3">
        <v>7</v>
      </c>
      <c r="AD145" s="3"/>
      <c r="AE145" s="3"/>
      <c r="AF145" s="3">
        <v>1</v>
      </c>
      <c r="AG145" s="3"/>
      <c r="AH145" s="3"/>
      <c r="AI145" s="3"/>
      <c r="AJ145" s="3">
        <v>5</v>
      </c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>
        <v>2</v>
      </c>
      <c r="AY145" s="3"/>
      <c r="AZ145" s="3">
        <v>1</v>
      </c>
      <c r="BA145" s="3">
        <v>1</v>
      </c>
      <c r="BB145" s="3">
        <v>9</v>
      </c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>
        <v>4</v>
      </c>
      <c r="BO145" s="3"/>
      <c r="BP145" s="3"/>
      <c r="BQ145" s="3">
        <v>9</v>
      </c>
      <c r="BR145" s="3"/>
      <c r="BS145" s="3">
        <v>7</v>
      </c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 t="s">
        <v>1185</v>
      </c>
      <c r="CN145" s="3" t="s">
        <v>1185</v>
      </c>
      <c r="CO145" s="3" t="s">
        <v>1185</v>
      </c>
      <c r="CP145" s="3" t="s">
        <v>1185</v>
      </c>
      <c r="CQ145" s="3" t="s">
        <v>1185</v>
      </c>
      <c r="CR145" s="3" t="s">
        <v>1185</v>
      </c>
      <c r="CS145" s="3" t="s">
        <v>1185</v>
      </c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R145" s="3"/>
    </row>
    <row r="146" spans="1:134" ht="15" customHeight="1" x14ac:dyDescent="0.25">
      <c r="A146" s="6" t="s">
        <v>285</v>
      </c>
      <c r="B146" s="2" t="s">
        <v>784</v>
      </c>
      <c r="C146" s="2" t="s">
        <v>1227</v>
      </c>
      <c r="D146" s="25" t="s">
        <v>1183</v>
      </c>
      <c r="E146" s="4" t="s">
        <v>1190</v>
      </c>
      <c r="F146" s="4" t="s">
        <v>1132</v>
      </c>
      <c r="G146" s="26">
        <v>1984</v>
      </c>
      <c r="H146" s="5"/>
      <c r="J146" s="5"/>
      <c r="M146" s="5"/>
      <c r="N146" s="2" t="s">
        <v>1228</v>
      </c>
      <c r="O146" s="28" t="s">
        <v>2490</v>
      </c>
      <c r="P146" s="3"/>
      <c r="Q146" s="27">
        <v>2</v>
      </c>
      <c r="R146" s="3"/>
      <c r="S146" s="3"/>
      <c r="T146" s="3"/>
      <c r="U146" s="3"/>
      <c r="V146" s="3"/>
      <c r="W146" s="3">
        <v>4</v>
      </c>
      <c r="X146" s="3"/>
      <c r="Z146" s="3"/>
      <c r="AA146" s="3"/>
      <c r="AB146" s="3">
        <v>6</v>
      </c>
      <c r="AC146" s="3">
        <v>6</v>
      </c>
      <c r="AD146" s="3"/>
      <c r="AE146" s="3"/>
      <c r="AF146" s="3">
        <v>2</v>
      </c>
      <c r="AG146" s="3">
        <v>1</v>
      </c>
      <c r="AH146" s="3">
        <v>1</v>
      </c>
      <c r="AI146" s="3">
        <v>9</v>
      </c>
      <c r="AJ146" s="3">
        <v>6</v>
      </c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>
        <v>9</v>
      </c>
      <c r="AX146" s="3">
        <v>3</v>
      </c>
      <c r="AY146" s="3">
        <v>9</v>
      </c>
      <c r="AZ146" s="3">
        <v>1</v>
      </c>
      <c r="BA146" s="3"/>
      <c r="BB146" s="3">
        <v>9</v>
      </c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>
        <v>9</v>
      </c>
      <c r="BN146" s="3">
        <v>4</v>
      </c>
      <c r="BO146" s="3"/>
      <c r="BP146" s="3">
        <v>8</v>
      </c>
      <c r="BQ146" s="3">
        <v>1</v>
      </c>
      <c r="BR146" s="3">
        <v>1</v>
      </c>
      <c r="BS146" s="3">
        <v>1</v>
      </c>
      <c r="BT146" s="3">
        <v>1</v>
      </c>
      <c r="BU146" s="3">
        <v>7</v>
      </c>
      <c r="BV146" s="3">
        <v>1</v>
      </c>
      <c r="BW146" s="3">
        <v>9</v>
      </c>
      <c r="BX146" s="3">
        <v>9</v>
      </c>
      <c r="BY146" s="3">
        <v>8</v>
      </c>
      <c r="BZ146" s="3">
        <v>9</v>
      </c>
      <c r="CA146" s="3">
        <v>7</v>
      </c>
      <c r="CB146" s="3">
        <v>1</v>
      </c>
      <c r="CC146" s="3">
        <v>1</v>
      </c>
      <c r="CD146" s="3"/>
      <c r="CE146" s="3"/>
      <c r="CF146" s="3">
        <v>9</v>
      </c>
      <c r="CG146" s="19">
        <v>1</v>
      </c>
      <c r="CH146" s="3"/>
      <c r="CI146" s="3">
        <v>3</v>
      </c>
      <c r="CJ146" s="3">
        <v>1</v>
      </c>
      <c r="CK146" s="3">
        <v>5</v>
      </c>
      <c r="CL146" s="3">
        <v>9</v>
      </c>
      <c r="CM146" s="3" t="s">
        <v>1185</v>
      </c>
      <c r="CN146" s="3" t="s">
        <v>1185</v>
      </c>
      <c r="CO146" s="3" t="s">
        <v>1185</v>
      </c>
      <c r="CP146" s="3" t="s">
        <v>1185</v>
      </c>
      <c r="CR146" s="3" t="s">
        <v>1185</v>
      </c>
      <c r="CT146" s="3">
        <v>9</v>
      </c>
      <c r="CU146" s="3">
        <v>1</v>
      </c>
      <c r="CV146" s="3">
        <v>1</v>
      </c>
      <c r="CW146" s="3">
        <v>9</v>
      </c>
      <c r="CX146" s="3">
        <v>1</v>
      </c>
      <c r="CY146" s="3"/>
      <c r="CZ146" s="3">
        <v>9</v>
      </c>
      <c r="DA146" s="3">
        <v>9</v>
      </c>
      <c r="DB146" s="3">
        <v>1</v>
      </c>
      <c r="DC146" s="3">
        <v>9</v>
      </c>
      <c r="DD146" s="3">
        <v>9</v>
      </c>
      <c r="DE146" s="3">
        <v>1</v>
      </c>
      <c r="DF146" s="3"/>
      <c r="DG146" s="3"/>
      <c r="DH146" s="3"/>
      <c r="DI146" s="3"/>
      <c r="DJ146" s="3"/>
      <c r="DK146" s="3"/>
      <c r="DL146" s="3">
        <v>5</v>
      </c>
      <c r="DM146" s="3">
        <v>1</v>
      </c>
      <c r="DN146" s="3">
        <v>1</v>
      </c>
      <c r="DO146" s="3">
        <v>1</v>
      </c>
      <c r="DP146" s="3"/>
      <c r="DR146" s="3"/>
    </row>
    <row r="147" spans="1:134" ht="15" customHeight="1" x14ac:dyDescent="0.25">
      <c r="A147" s="6" t="s">
        <v>286</v>
      </c>
      <c r="B147" s="2" t="s">
        <v>784</v>
      </c>
      <c r="C147" s="2" t="s">
        <v>1229</v>
      </c>
      <c r="D147" s="25" t="s">
        <v>1183</v>
      </c>
      <c r="E147" s="4" t="s">
        <v>1190</v>
      </c>
      <c r="F147" s="4" t="s">
        <v>809</v>
      </c>
      <c r="G147" s="26">
        <v>1983</v>
      </c>
      <c r="H147" s="5"/>
      <c r="J147" s="5"/>
      <c r="M147" s="5"/>
      <c r="N147" s="2" t="s">
        <v>1230</v>
      </c>
      <c r="O147" s="28" t="s">
        <v>2491</v>
      </c>
      <c r="P147" s="3"/>
      <c r="Q147" s="27">
        <v>2</v>
      </c>
      <c r="R147" s="3"/>
      <c r="S147" s="3"/>
      <c r="T147" s="3"/>
      <c r="U147" s="3"/>
      <c r="V147" s="3"/>
      <c r="W147" s="3">
        <v>4</v>
      </c>
      <c r="X147" s="3"/>
      <c r="Z147" s="3"/>
      <c r="AA147" s="3"/>
      <c r="AB147" s="3">
        <v>8</v>
      </c>
      <c r="AC147" s="3">
        <v>7</v>
      </c>
      <c r="AD147" s="3"/>
      <c r="AE147" s="3"/>
      <c r="AF147" s="3">
        <v>1</v>
      </c>
      <c r="AG147" s="3"/>
      <c r="AH147" s="3"/>
      <c r="AI147" s="3"/>
      <c r="AJ147" s="3">
        <v>6</v>
      </c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>
        <v>2</v>
      </c>
      <c r="AY147" s="3"/>
      <c r="AZ147" s="3">
        <v>2</v>
      </c>
      <c r="BA147" s="3">
        <v>1</v>
      </c>
      <c r="BB147" s="3">
        <v>9</v>
      </c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>
        <v>4</v>
      </c>
      <c r="BO147" s="3"/>
      <c r="BP147" s="3"/>
      <c r="BQ147" s="3">
        <v>1</v>
      </c>
      <c r="BR147" s="3">
        <v>1</v>
      </c>
      <c r="BS147" s="3">
        <v>9</v>
      </c>
      <c r="BT147" s="3">
        <v>1</v>
      </c>
      <c r="BU147" s="3">
        <v>9</v>
      </c>
      <c r="BV147" s="3">
        <v>1</v>
      </c>
      <c r="BW147" s="3">
        <v>1</v>
      </c>
      <c r="BX147" s="3">
        <v>1</v>
      </c>
      <c r="BY147" s="3">
        <v>9</v>
      </c>
      <c r="BZ147" s="3">
        <v>9</v>
      </c>
      <c r="CA147" s="3">
        <v>1</v>
      </c>
      <c r="CB147" s="3">
        <v>1</v>
      </c>
      <c r="CC147" s="3">
        <v>1</v>
      </c>
      <c r="CD147" s="3">
        <v>1</v>
      </c>
      <c r="CE147" s="3"/>
      <c r="CF147" s="3"/>
      <c r="CG147" s="3"/>
      <c r="CH147" s="3"/>
      <c r="CI147" s="3"/>
      <c r="CJ147" s="3"/>
      <c r="CK147" s="3"/>
      <c r="CL147" s="3"/>
      <c r="CM147" s="3" t="s">
        <v>1185</v>
      </c>
      <c r="CN147" s="3" t="s">
        <v>1185</v>
      </c>
      <c r="CO147" s="3" t="s">
        <v>1185</v>
      </c>
      <c r="CP147" s="3" t="s">
        <v>1185</v>
      </c>
      <c r="CQ147" s="3" t="s">
        <v>1185</v>
      </c>
      <c r="CR147" s="3" t="s">
        <v>1185</v>
      </c>
      <c r="CS147" s="3" t="s">
        <v>1185</v>
      </c>
      <c r="CT147" s="3"/>
      <c r="CU147" s="3"/>
      <c r="CV147" s="3"/>
      <c r="CW147" s="3"/>
      <c r="CX147" s="3"/>
      <c r="CY147" s="3"/>
      <c r="CZ147" s="3">
        <v>9</v>
      </c>
      <c r="DA147" s="3">
        <v>5</v>
      </c>
      <c r="DB147" s="3">
        <v>1</v>
      </c>
      <c r="DC147" s="3"/>
      <c r="DD147" s="3"/>
      <c r="DE147" s="3">
        <v>1</v>
      </c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19">
        <v>9</v>
      </c>
      <c r="DR147" s="3"/>
      <c r="DU147" s="3"/>
      <c r="DY147" s="3"/>
      <c r="DZ147" s="3"/>
      <c r="EB147" s="3"/>
      <c r="EC147" s="3"/>
      <c r="ED147" s="3"/>
    </row>
    <row r="148" spans="1:134" ht="15" customHeight="1" x14ac:dyDescent="0.25">
      <c r="A148" s="6" t="s">
        <v>287</v>
      </c>
      <c r="B148" s="2" t="s">
        <v>784</v>
      </c>
      <c r="C148" s="2" t="s">
        <v>1231</v>
      </c>
      <c r="D148" s="25" t="s">
        <v>1183</v>
      </c>
      <c r="E148" s="4" t="s">
        <v>1190</v>
      </c>
      <c r="F148" s="4" t="s">
        <v>809</v>
      </c>
      <c r="G148" s="26">
        <v>1983</v>
      </c>
      <c r="H148" s="5"/>
      <c r="J148" s="5"/>
      <c r="M148" s="5"/>
      <c r="N148" s="2" t="s">
        <v>1232</v>
      </c>
      <c r="O148" s="28" t="s">
        <v>2492</v>
      </c>
      <c r="P148" s="3"/>
      <c r="Q148" s="27">
        <v>2</v>
      </c>
      <c r="R148" s="3"/>
      <c r="S148" s="3"/>
      <c r="T148" s="3"/>
      <c r="U148" s="3"/>
      <c r="V148" s="3"/>
      <c r="W148" s="3"/>
      <c r="X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>
        <v>9</v>
      </c>
      <c r="BR148" s="3"/>
      <c r="BS148" s="3">
        <v>9</v>
      </c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 t="s">
        <v>1185</v>
      </c>
      <c r="CN148" s="3" t="s">
        <v>1185</v>
      </c>
      <c r="CO148" s="3" t="s">
        <v>1185</v>
      </c>
      <c r="CP148" s="3" t="s">
        <v>1185</v>
      </c>
      <c r="CQ148" s="3" t="s">
        <v>1185</v>
      </c>
      <c r="CR148" s="3" t="s">
        <v>1185</v>
      </c>
      <c r="CS148" s="3" t="s">
        <v>1185</v>
      </c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19">
        <v>1</v>
      </c>
      <c r="DR148" s="3"/>
    </row>
    <row r="149" spans="1:134" ht="15" customHeight="1" x14ac:dyDescent="0.25">
      <c r="A149" s="6" t="s">
        <v>288</v>
      </c>
      <c r="B149" s="2" t="s">
        <v>784</v>
      </c>
      <c r="C149" s="2" t="s">
        <v>1233</v>
      </c>
      <c r="D149" s="25" t="s">
        <v>1183</v>
      </c>
      <c r="E149" s="4" t="s">
        <v>1190</v>
      </c>
      <c r="F149" s="4" t="s">
        <v>1234</v>
      </c>
      <c r="G149" s="26">
        <v>1984</v>
      </c>
      <c r="H149" s="5"/>
      <c r="J149" s="5"/>
      <c r="M149" s="5"/>
      <c r="N149" s="2" t="s">
        <v>1235</v>
      </c>
      <c r="O149" s="28" t="s">
        <v>2493</v>
      </c>
      <c r="P149" s="3"/>
      <c r="Q149" s="27">
        <v>2</v>
      </c>
      <c r="R149" s="3"/>
      <c r="S149" s="3">
        <v>2</v>
      </c>
      <c r="T149" s="3"/>
      <c r="U149" s="3">
        <v>9</v>
      </c>
      <c r="V149" s="3"/>
      <c r="W149" s="3">
        <v>4</v>
      </c>
      <c r="X149" s="3"/>
      <c r="Z149" s="3"/>
      <c r="AA149" s="3"/>
      <c r="AB149" s="3">
        <v>1</v>
      </c>
      <c r="AC149" s="3">
        <v>4</v>
      </c>
      <c r="AD149" s="3"/>
      <c r="AE149" s="3"/>
      <c r="AF149" s="3">
        <v>1</v>
      </c>
      <c r="AG149" s="3"/>
      <c r="AH149" s="3"/>
      <c r="AI149" s="3"/>
      <c r="AJ149" s="3">
        <v>3</v>
      </c>
      <c r="AK149" s="3">
        <v>1</v>
      </c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>
        <v>4</v>
      </c>
      <c r="AY149" s="3"/>
      <c r="AZ149" s="3">
        <v>2</v>
      </c>
      <c r="BA149" s="3">
        <v>1</v>
      </c>
      <c r="BB149" s="3">
        <v>9</v>
      </c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>
        <v>9</v>
      </c>
      <c r="BN149" s="3">
        <v>4</v>
      </c>
      <c r="BO149" s="3"/>
      <c r="BP149" s="3"/>
      <c r="BQ149" s="3">
        <v>1</v>
      </c>
      <c r="BR149" s="3">
        <v>1</v>
      </c>
      <c r="BS149" s="3">
        <v>9</v>
      </c>
      <c r="BT149" s="3">
        <v>7</v>
      </c>
      <c r="BU149" s="3">
        <v>4</v>
      </c>
      <c r="BV149" s="3">
        <v>1</v>
      </c>
      <c r="BW149" s="3">
        <v>9</v>
      </c>
      <c r="BX149" s="3">
        <v>8</v>
      </c>
      <c r="BY149" s="3">
        <v>9</v>
      </c>
      <c r="BZ149" s="3">
        <v>9</v>
      </c>
      <c r="CA149" s="3"/>
      <c r="CB149" s="3">
        <v>1</v>
      </c>
      <c r="CC149" s="3">
        <v>7</v>
      </c>
      <c r="CD149" s="3">
        <v>7</v>
      </c>
      <c r="CE149" s="19">
        <v>8</v>
      </c>
      <c r="CF149" s="3">
        <v>9</v>
      </c>
      <c r="CG149" s="19">
        <v>1</v>
      </c>
      <c r="CH149" s="3">
        <v>9</v>
      </c>
      <c r="CI149" s="3">
        <v>7</v>
      </c>
      <c r="CJ149" s="3">
        <v>7</v>
      </c>
      <c r="CK149" s="3">
        <v>3</v>
      </c>
      <c r="CL149" s="3">
        <v>9</v>
      </c>
      <c r="CM149" s="3" t="s">
        <v>1185</v>
      </c>
      <c r="CN149" s="3"/>
      <c r="CO149" s="3" t="s">
        <v>1185</v>
      </c>
      <c r="CP149" s="3" t="s">
        <v>1185</v>
      </c>
      <c r="CQ149" s="3" t="s">
        <v>1185</v>
      </c>
      <c r="CR149" s="3" t="s">
        <v>1185</v>
      </c>
      <c r="CS149" s="3" t="s">
        <v>1185</v>
      </c>
      <c r="CT149" s="3">
        <v>9</v>
      </c>
      <c r="CU149" s="3">
        <v>9</v>
      </c>
      <c r="CV149" s="3">
        <v>9</v>
      </c>
      <c r="CW149" s="3">
        <v>9</v>
      </c>
      <c r="CX149" s="3">
        <v>3</v>
      </c>
      <c r="CY149" s="3"/>
      <c r="CZ149" s="3">
        <v>9</v>
      </c>
      <c r="DA149" s="3">
        <v>9</v>
      </c>
      <c r="DB149" s="3">
        <v>1</v>
      </c>
      <c r="DC149" s="3"/>
      <c r="DD149" s="3"/>
      <c r="DE149" s="3">
        <v>1</v>
      </c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R149" s="3"/>
    </row>
    <row r="150" spans="1:134" ht="15" customHeight="1" x14ac:dyDescent="0.25">
      <c r="A150" s="6" t="s">
        <v>289</v>
      </c>
      <c r="B150" s="2" t="s">
        <v>784</v>
      </c>
      <c r="C150" s="2" t="s">
        <v>1236</v>
      </c>
      <c r="D150" s="25" t="s">
        <v>1183</v>
      </c>
      <c r="E150" s="4" t="s">
        <v>1190</v>
      </c>
      <c r="F150" s="5"/>
      <c r="G150" s="29"/>
      <c r="H150" s="5"/>
      <c r="J150" s="5"/>
      <c r="M150" s="5"/>
      <c r="N150" s="2" t="s">
        <v>1237</v>
      </c>
      <c r="O150" s="28" t="s">
        <v>2494</v>
      </c>
      <c r="P150" s="3"/>
      <c r="Q150" s="27">
        <v>2</v>
      </c>
      <c r="R150" s="3"/>
      <c r="S150" s="3">
        <v>2</v>
      </c>
      <c r="T150" s="3">
        <v>3</v>
      </c>
      <c r="U150" s="3"/>
      <c r="V150" s="3"/>
      <c r="W150" s="3">
        <v>3</v>
      </c>
      <c r="X150" s="3"/>
      <c r="Z150" s="3"/>
      <c r="AA150" s="3"/>
      <c r="AB150" s="3">
        <v>2</v>
      </c>
      <c r="AC150" s="3">
        <v>4</v>
      </c>
      <c r="AD150" s="3"/>
      <c r="AE150" s="3"/>
      <c r="AF150" s="3">
        <v>1</v>
      </c>
      <c r="AG150" s="3"/>
      <c r="AH150" s="3"/>
      <c r="AI150" s="3">
        <v>9</v>
      </c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>
        <v>9</v>
      </c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>
        <v>5</v>
      </c>
      <c r="BR150" s="3">
        <v>1</v>
      </c>
      <c r="BS150" s="3">
        <v>1</v>
      </c>
      <c r="BT150" s="3">
        <v>3</v>
      </c>
      <c r="BU150" s="3">
        <v>1</v>
      </c>
      <c r="BV150" s="3">
        <v>3</v>
      </c>
      <c r="BW150" s="3">
        <v>3</v>
      </c>
      <c r="BX150" s="3">
        <v>3</v>
      </c>
      <c r="BY150" s="3">
        <v>9</v>
      </c>
      <c r="BZ150" s="3">
        <v>9</v>
      </c>
      <c r="CA150" s="3">
        <v>1</v>
      </c>
      <c r="CB150" s="3">
        <v>1</v>
      </c>
      <c r="CC150" s="3">
        <v>3</v>
      </c>
      <c r="CD150" s="3">
        <v>9</v>
      </c>
      <c r="CE150" s="3"/>
      <c r="CF150" s="3"/>
      <c r="CG150" s="3"/>
      <c r="CH150" s="3"/>
      <c r="CI150" s="3"/>
      <c r="CJ150" s="3"/>
      <c r="CK150" s="3"/>
      <c r="CL150" s="3"/>
      <c r="CM150" s="3" t="s">
        <v>1185</v>
      </c>
      <c r="CN150" s="3" t="s">
        <v>1185</v>
      </c>
      <c r="CO150" s="3"/>
      <c r="CP150" s="3" t="s">
        <v>1185</v>
      </c>
      <c r="CQ150" s="3" t="s">
        <v>1185</v>
      </c>
      <c r="CT150" s="3"/>
      <c r="CU150" s="3"/>
      <c r="CV150" s="3"/>
      <c r="CW150" s="3"/>
      <c r="CX150" s="3"/>
      <c r="CY150" s="3"/>
      <c r="CZ150" s="3">
        <v>9</v>
      </c>
      <c r="DA150" s="3">
        <v>9</v>
      </c>
      <c r="DB150" s="3">
        <v>9</v>
      </c>
      <c r="DC150" s="3">
        <v>9</v>
      </c>
      <c r="DD150" s="3">
        <v>9</v>
      </c>
      <c r="DE150" s="3">
        <v>9</v>
      </c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R150" s="3"/>
      <c r="DY150" s="3"/>
      <c r="DZ150" s="3"/>
    </row>
    <row r="151" spans="1:134" ht="15" customHeight="1" x14ac:dyDescent="0.25">
      <c r="A151" s="6" t="s">
        <v>290</v>
      </c>
      <c r="B151" s="2" t="s">
        <v>784</v>
      </c>
      <c r="C151" s="2" t="s">
        <v>1238</v>
      </c>
      <c r="D151" s="25" t="s">
        <v>1183</v>
      </c>
      <c r="E151" s="4" t="s">
        <v>1190</v>
      </c>
      <c r="F151" s="4" t="s">
        <v>1209</v>
      </c>
      <c r="G151" s="26">
        <v>1976</v>
      </c>
      <c r="H151" s="5"/>
      <c r="J151" s="5"/>
      <c r="M151" s="5"/>
      <c r="N151" s="2" t="s">
        <v>1239</v>
      </c>
      <c r="O151" s="28" t="s">
        <v>2495</v>
      </c>
      <c r="P151" s="3"/>
      <c r="Q151" s="27">
        <v>2</v>
      </c>
      <c r="R151" s="3"/>
      <c r="S151" s="3">
        <v>2</v>
      </c>
      <c r="T151" s="3">
        <v>3</v>
      </c>
      <c r="U151" s="3">
        <v>9</v>
      </c>
      <c r="V151" s="3"/>
      <c r="W151" s="3"/>
      <c r="X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>
        <v>9</v>
      </c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>
        <v>9</v>
      </c>
      <c r="BN151" s="3"/>
      <c r="BO151" s="3"/>
      <c r="BP151" s="3"/>
      <c r="BQ151" s="3">
        <v>9</v>
      </c>
      <c r="BR151" s="3">
        <v>9</v>
      </c>
      <c r="BS151" s="3">
        <v>9</v>
      </c>
      <c r="BT151" s="19">
        <v>9</v>
      </c>
      <c r="BU151" s="3">
        <v>1</v>
      </c>
      <c r="BV151" s="19">
        <v>7</v>
      </c>
      <c r="BW151" s="3"/>
      <c r="BX151" s="19">
        <v>9</v>
      </c>
      <c r="BY151" s="3"/>
      <c r="BZ151" s="19">
        <v>8</v>
      </c>
      <c r="CA151" s="19">
        <v>9</v>
      </c>
      <c r="CB151" s="19">
        <v>9</v>
      </c>
      <c r="CC151" s="19">
        <v>7</v>
      </c>
      <c r="CD151" s="3">
        <v>3</v>
      </c>
      <c r="CE151" s="19">
        <v>9</v>
      </c>
      <c r="CF151" s="3">
        <v>9</v>
      </c>
      <c r="CG151" s="3"/>
      <c r="CH151" s="3">
        <v>9</v>
      </c>
      <c r="CI151" s="3">
        <v>9</v>
      </c>
      <c r="CJ151" s="3">
        <v>9</v>
      </c>
      <c r="CK151" s="3">
        <v>7</v>
      </c>
      <c r="CL151" s="3">
        <v>7</v>
      </c>
      <c r="CM151" s="3" t="s">
        <v>1185</v>
      </c>
      <c r="CN151" s="3" t="s">
        <v>1185</v>
      </c>
      <c r="CO151" s="3" t="s">
        <v>1185</v>
      </c>
      <c r="CP151" s="3" t="s">
        <v>1185</v>
      </c>
      <c r="CQ151" s="3" t="s">
        <v>1185</v>
      </c>
      <c r="CR151" s="3" t="s">
        <v>1185</v>
      </c>
      <c r="CS151" s="3" t="s">
        <v>1185</v>
      </c>
      <c r="CT151" s="3">
        <v>8</v>
      </c>
      <c r="CU151" s="3">
        <v>9</v>
      </c>
      <c r="CV151" s="3">
        <v>9</v>
      </c>
      <c r="CW151" s="3">
        <v>9</v>
      </c>
      <c r="CX151" s="3">
        <v>9</v>
      </c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R151" s="3"/>
    </row>
    <row r="152" spans="1:134" ht="15" customHeight="1" x14ac:dyDescent="0.25">
      <c r="A152" s="6" t="s">
        <v>291</v>
      </c>
      <c r="B152" s="2" t="s">
        <v>784</v>
      </c>
      <c r="C152" s="2" t="s">
        <v>1240</v>
      </c>
      <c r="D152" s="25" t="s">
        <v>1183</v>
      </c>
      <c r="E152" s="4" t="s">
        <v>1190</v>
      </c>
      <c r="F152" s="4" t="s">
        <v>1209</v>
      </c>
      <c r="G152" s="26">
        <v>1976</v>
      </c>
      <c r="H152" s="5"/>
      <c r="J152" s="5"/>
      <c r="M152" s="5"/>
      <c r="N152" s="2" t="s">
        <v>1241</v>
      </c>
      <c r="O152" s="28" t="s">
        <v>2496</v>
      </c>
      <c r="P152" s="3"/>
      <c r="Q152" s="27">
        <v>2</v>
      </c>
      <c r="R152" s="3"/>
      <c r="S152" s="3">
        <v>2</v>
      </c>
      <c r="T152" s="3">
        <v>3</v>
      </c>
      <c r="U152" s="3">
        <v>9</v>
      </c>
      <c r="V152" s="3"/>
      <c r="W152" s="3"/>
      <c r="X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>
        <v>9</v>
      </c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>
        <v>9</v>
      </c>
      <c r="BR152" s="3"/>
      <c r="BS152" s="3">
        <v>9</v>
      </c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 t="s">
        <v>1185</v>
      </c>
      <c r="CN152" s="3" t="s">
        <v>1185</v>
      </c>
      <c r="CO152" s="3" t="s">
        <v>1185</v>
      </c>
      <c r="CP152" s="3"/>
      <c r="CQ152" s="3" t="s">
        <v>1185</v>
      </c>
      <c r="CR152" s="3" t="s">
        <v>1185</v>
      </c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R152" s="3">
        <v>9</v>
      </c>
      <c r="EA152" s="3"/>
    </row>
    <row r="153" spans="1:134" ht="15" customHeight="1" x14ac:dyDescent="0.25">
      <c r="A153" s="6" t="s">
        <v>292</v>
      </c>
      <c r="B153" s="2" t="s">
        <v>784</v>
      </c>
      <c r="C153" s="2" t="s">
        <v>1242</v>
      </c>
      <c r="D153" s="25" t="s">
        <v>1183</v>
      </c>
      <c r="E153" s="4" t="s">
        <v>1190</v>
      </c>
      <c r="F153" s="4" t="s">
        <v>1243</v>
      </c>
      <c r="G153" s="26">
        <v>1973</v>
      </c>
      <c r="H153" s="5"/>
      <c r="J153" s="5"/>
      <c r="M153" s="5"/>
      <c r="N153" s="2" t="s">
        <v>1244</v>
      </c>
      <c r="O153" s="28" t="s">
        <v>2497</v>
      </c>
      <c r="P153" s="3"/>
      <c r="Q153" s="27">
        <v>2</v>
      </c>
      <c r="R153" s="3"/>
      <c r="S153" s="3"/>
      <c r="T153" s="3"/>
      <c r="U153" s="3"/>
      <c r="V153" s="3"/>
      <c r="W153" s="3"/>
      <c r="X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>
        <v>3</v>
      </c>
      <c r="BO153" s="3"/>
      <c r="BP153" s="3"/>
      <c r="BQ153" s="3">
        <v>9</v>
      </c>
      <c r="BR153" s="3"/>
      <c r="BS153" s="3">
        <v>9</v>
      </c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 t="s">
        <v>1185</v>
      </c>
      <c r="CR153" s="3" t="s">
        <v>1185</v>
      </c>
      <c r="CS153" s="3" t="s">
        <v>1185</v>
      </c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R153" s="3"/>
    </row>
    <row r="154" spans="1:134" ht="15" customHeight="1" x14ac:dyDescent="0.25">
      <c r="A154" s="6" t="s">
        <v>293</v>
      </c>
      <c r="B154" s="2" t="s">
        <v>784</v>
      </c>
      <c r="C154" s="2" t="s">
        <v>1245</v>
      </c>
      <c r="D154" s="25" t="s">
        <v>1183</v>
      </c>
      <c r="E154" s="4" t="s">
        <v>1190</v>
      </c>
      <c r="F154" s="4" t="s">
        <v>1096</v>
      </c>
      <c r="G154" s="26">
        <v>1975</v>
      </c>
      <c r="H154" s="5"/>
      <c r="I154" s="5"/>
      <c r="J154" s="5"/>
      <c r="M154" s="5"/>
      <c r="N154" s="2" t="s">
        <v>1246</v>
      </c>
      <c r="O154" s="28" t="s">
        <v>2498</v>
      </c>
      <c r="P154" s="3"/>
      <c r="Q154" s="27">
        <v>2</v>
      </c>
      <c r="R154" s="3"/>
      <c r="S154" s="3"/>
      <c r="T154" s="3"/>
      <c r="U154" s="3"/>
      <c r="V154" s="3"/>
      <c r="W154" s="3">
        <v>4</v>
      </c>
      <c r="X154" s="3"/>
      <c r="Z154" s="3"/>
      <c r="AA154" s="3"/>
      <c r="AB154" s="3">
        <v>8</v>
      </c>
      <c r="AC154" s="3">
        <v>8</v>
      </c>
      <c r="AD154" s="3"/>
      <c r="AE154" s="3"/>
      <c r="AF154" s="3">
        <v>1</v>
      </c>
      <c r="AG154" s="3"/>
      <c r="AH154" s="3"/>
      <c r="AI154" s="3"/>
      <c r="AJ154" s="3">
        <v>3</v>
      </c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>
        <v>2</v>
      </c>
      <c r="AY154" s="3"/>
      <c r="AZ154" s="3">
        <v>1</v>
      </c>
      <c r="BA154" s="3">
        <v>1</v>
      </c>
      <c r="BB154" s="3">
        <v>9</v>
      </c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>
        <v>9</v>
      </c>
      <c r="BR154" s="3"/>
      <c r="BS154" s="3">
        <v>9</v>
      </c>
      <c r="BT154" s="3"/>
      <c r="BU154" s="3"/>
      <c r="BV154" s="3"/>
      <c r="BW154" s="3"/>
      <c r="BX154" s="3"/>
      <c r="BY154" s="3"/>
      <c r="BZ154" s="3">
        <v>9</v>
      </c>
      <c r="CA154" s="3"/>
      <c r="CB154" s="3"/>
      <c r="CC154" s="3">
        <v>9</v>
      </c>
      <c r="CD154" s="3">
        <v>9</v>
      </c>
      <c r="CE154" s="3"/>
      <c r="CF154" s="3"/>
      <c r="CG154" s="3"/>
      <c r="CH154" s="3"/>
      <c r="CI154" s="3"/>
      <c r="CJ154" s="3"/>
      <c r="CK154" s="3"/>
      <c r="CL154" s="3"/>
      <c r="CM154" s="3" t="s">
        <v>1185</v>
      </c>
      <c r="CN154" s="3" t="s">
        <v>1185</v>
      </c>
      <c r="CO154" s="3" t="s">
        <v>1185</v>
      </c>
      <c r="CP154" s="3" t="s">
        <v>1185</v>
      </c>
      <c r="CQ154" s="3" t="s">
        <v>1185</v>
      </c>
      <c r="CR154" s="3" t="s">
        <v>1185</v>
      </c>
      <c r="CS154" s="3" t="s">
        <v>1185</v>
      </c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R154" s="3"/>
    </row>
    <row r="155" spans="1:134" ht="15" customHeight="1" x14ac:dyDescent="0.25">
      <c r="A155" s="6" t="s">
        <v>294</v>
      </c>
      <c r="B155" s="2" t="s">
        <v>784</v>
      </c>
      <c r="C155" s="2" t="s">
        <v>1247</v>
      </c>
      <c r="D155" s="25" t="s">
        <v>1183</v>
      </c>
      <c r="E155" s="4" t="s">
        <v>1190</v>
      </c>
      <c r="F155" s="4" t="s">
        <v>1096</v>
      </c>
      <c r="G155" s="26">
        <v>1975</v>
      </c>
      <c r="H155" s="5"/>
      <c r="I155" s="5"/>
      <c r="J155" s="5"/>
      <c r="M155" s="5"/>
      <c r="N155" s="2" t="s">
        <v>1248</v>
      </c>
      <c r="O155" s="28" t="s">
        <v>2499</v>
      </c>
      <c r="P155" s="3"/>
      <c r="Q155" s="27">
        <v>2</v>
      </c>
      <c r="R155" s="3"/>
      <c r="S155" s="3"/>
      <c r="T155" s="3"/>
      <c r="U155" s="3"/>
      <c r="V155" s="3"/>
      <c r="W155" s="3"/>
      <c r="X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>
        <v>9</v>
      </c>
      <c r="BR155" s="3"/>
      <c r="BS155" s="3">
        <v>9</v>
      </c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 t="s">
        <v>1185</v>
      </c>
      <c r="CN155" s="3" t="s">
        <v>1185</v>
      </c>
      <c r="CO155" s="3" t="s">
        <v>1185</v>
      </c>
      <c r="CP155" s="3" t="s">
        <v>1185</v>
      </c>
      <c r="CQ155" s="3" t="s">
        <v>1185</v>
      </c>
      <c r="CR155" s="3" t="s">
        <v>1185</v>
      </c>
      <c r="CS155" s="3" t="s">
        <v>1185</v>
      </c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R155" s="3">
        <v>9</v>
      </c>
    </row>
    <row r="156" spans="1:134" ht="15" customHeight="1" x14ac:dyDescent="0.25">
      <c r="A156" s="6" t="s">
        <v>295</v>
      </c>
      <c r="B156" s="2" t="s">
        <v>784</v>
      </c>
      <c r="C156" s="2" t="s">
        <v>1249</v>
      </c>
      <c r="D156" s="25" t="s">
        <v>1183</v>
      </c>
      <c r="E156" s="4" t="s">
        <v>1190</v>
      </c>
      <c r="F156" s="4" t="s">
        <v>809</v>
      </c>
      <c r="G156" s="29"/>
      <c r="H156" s="5"/>
      <c r="I156" s="5"/>
      <c r="J156" s="5"/>
      <c r="M156" s="5"/>
      <c r="N156" s="2" t="s">
        <v>1250</v>
      </c>
      <c r="O156" s="28" t="s">
        <v>2500</v>
      </c>
      <c r="P156" s="3"/>
      <c r="Q156" s="27">
        <v>2</v>
      </c>
      <c r="R156" s="3"/>
      <c r="S156" s="3"/>
      <c r="T156" s="3"/>
      <c r="U156" s="3"/>
      <c r="V156" s="3"/>
      <c r="W156" s="3"/>
      <c r="X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>
        <v>9</v>
      </c>
      <c r="BR156" s="3"/>
      <c r="BS156" s="3">
        <v>9</v>
      </c>
      <c r="BT156" s="3"/>
      <c r="BU156" s="3"/>
      <c r="BV156" s="3"/>
      <c r="BW156" s="3"/>
      <c r="BX156" s="3"/>
      <c r="BY156" s="3"/>
      <c r="BZ156" s="3">
        <v>9</v>
      </c>
      <c r="CA156" s="3"/>
      <c r="CB156" s="3"/>
      <c r="CC156" s="3">
        <v>9</v>
      </c>
      <c r="CD156" s="3">
        <v>9</v>
      </c>
      <c r="CE156" s="3"/>
      <c r="CF156" s="3"/>
      <c r="CG156" s="3"/>
      <c r="CH156" s="3"/>
      <c r="CI156" s="3"/>
      <c r="CJ156" s="3"/>
      <c r="CK156" s="3"/>
      <c r="CL156" s="3"/>
      <c r="CM156" s="3" t="s">
        <v>1185</v>
      </c>
      <c r="CN156" s="3" t="s">
        <v>1185</v>
      </c>
      <c r="CO156" s="3" t="s">
        <v>1185</v>
      </c>
      <c r="CP156" s="3" t="s">
        <v>1185</v>
      </c>
      <c r="CQ156" s="3" t="s">
        <v>1185</v>
      </c>
      <c r="CR156" s="3" t="s">
        <v>1185</v>
      </c>
      <c r="CS156" s="3" t="s">
        <v>1185</v>
      </c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19">
        <v>1</v>
      </c>
      <c r="DR156" s="3"/>
    </row>
    <row r="157" spans="1:134" ht="15" customHeight="1" x14ac:dyDescent="0.25">
      <c r="A157" s="6" t="s">
        <v>296</v>
      </c>
      <c r="B157" s="2" t="s">
        <v>784</v>
      </c>
      <c r="C157" s="2" t="s">
        <v>1251</v>
      </c>
      <c r="D157" s="25" t="s">
        <v>1183</v>
      </c>
      <c r="E157" s="4" t="s">
        <v>1190</v>
      </c>
      <c r="F157" s="4" t="s">
        <v>793</v>
      </c>
      <c r="G157" s="26">
        <v>1975</v>
      </c>
      <c r="H157" s="5"/>
      <c r="I157" s="5"/>
      <c r="J157" s="5"/>
      <c r="M157" s="5"/>
      <c r="N157" s="2" t="s">
        <v>1252</v>
      </c>
      <c r="O157" s="28" t="s">
        <v>2501</v>
      </c>
      <c r="P157" s="3"/>
      <c r="Q157" s="27">
        <v>2</v>
      </c>
      <c r="R157" s="3"/>
      <c r="S157" s="3"/>
      <c r="T157" s="3"/>
      <c r="U157" s="3"/>
      <c r="V157" s="3"/>
      <c r="W157" s="3"/>
      <c r="X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>
        <v>9</v>
      </c>
      <c r="BR157" s="3"/>
      <c r="BS157" s="3">
        <v>9</v>
      </c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 t="s">
        <v>1185</v>
      </c>
      <c r="CN157" s="3" t="s">
        <v>1185</v>
      </c>
      <c r="CO157" s="3" t="s">
        <v>1185</v>
      </c>
      <c r="CP157" s="3" t="s">
        <v>1185</v>
      </c>
      <c r="CQ157" s="3" t="s">
        <v>1185</v>
      </c>
      <c r="CR157" s="3" t="s">
        <v>1185</v>
      </c>
      <c r="CS157" s="3" t="s">
        <v>1185</v>
      </c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R157" s="3"/>
    </row>
    <row r="158" spans="1:134" ht="15" customHeight="1" x14ac:dyDescent="0.25">
      <c r="A158" s="6" t="s">
        <v>297</v>
      </c>
      <c r="B158" s="2" t="s">
        <v>784</v>
      </c>
      <c r="C158" s="2" t="s">
        <v>1253</v>
      </c>
      <c r="D158" s="25" t="s">
        <v>1183</v>
      </c>
      <c r="E158" s="4" t="s">
        <v>1190</v>
      </c>
      <c r="F158" s="4" t="s">
        <v>1209</v>
      </c>
      <c r="G158" s="26">
        <v>1976</v>
      </c>
      <c r="H158" s="5"/>
      <c r="I158" s="5"/>
      <c r="J158" s="5"/>
      <c r="M158" s="5"/>
      <c r="N158" s="2" t="s">
        <v>1254</v>
      </c>
      <c r="O158" s="28" t="s">
        <v>2502</v>
      </c>
      <c r="P158" s="3"/>
      <c r="Q158" s="27">
        <v>2</v>
      </c>
      <c r="R158" s="3"/>
      <c r="S158" s="3"/>
      <c r="T158" s="3"/>
      <c r="U158" s="3"/>
      <c r="V158" s="3"/>
      <c r="W158" s="3"/>
      <c r="X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>
        <v>9</v>
      </c>
      <c r="BN158" s="3"/>
      <c r="BO158" s="3"/>
      <c r="BP158" s="3"/>
      <c r="BQ158" s="3">
        <v>9</v>
      </c>
      <c r="BR158" s="3">
        <v>9</v>
      </c>
      <c r="BS158" s="3">
        <v>9</v>
      </c>
      <c r="BT158" s="3"/>
      <c r="BU158" s="3">
        <v>1</v>
      </c>
      <c r="BV158" s="19">
        <v>8</v>
      </c>
      <c r="BW158" s="19">
        <v>7</v>
      </c>
      <c r="BX158" s="3"/>
      <c r="BY158" s="3"/>
      <c r="BZ158" s="19">
        <v>9</v>
      </c>
      <c r="CA158" s="19">
        <v>6</v>
      </c>
      <c r="CB158" s="19">
        <v>7</v>
      </c>
      <c r="CC158" s="19">
        <v>1</v>
      </c>
      <c r="CD158" s="3">
        <v>3</v>
      </c>
      <c r="CE158" s="19">
        <v>4</v>
      </c>
      <c r="CF158" s="19">
        <v>1</v>
      </c>
      <c r="CG158" s="3"/>
      <c r="CH158" s="3">
        <v>1</v>
      </c>
      <c r="CI158" s="3">
        <v>1</v>
      </c>
      <c r="CJ158" s="19">
        <v>9</v>
      </c>
      <c r="CK158" s="19">
        <v>1</v>
      </c>
      <c r="CL158" s="19">
        <v>1</v>
      </c>
      <c r="CM158" s="19">
        <v>1</v>
      </c>
      <c r="CN158" s="3" t="s">
        <v>1185</v>
      </c>
      <c r="CO158" s="3" t="s">
        <v>1185</v>
      </c>
      <c r="CP158" s="3" t="s">
        <v>1185</v>
      </c>
      <c r="CQ158" s="3" t="s">
        <v>1185</v>
      </c>
      <c r="CR158" s="3" t="s">
        <v>1185</v>
      </c>
      <c r="CS158" s="3" t="s">
        <v>1185</v>
      </c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R158" s="3">
        <v>9</v>
      </c>
      <c r="DU158" s="3"/>
      <c r="DV158" s="3"/>
      <c r="DW158" s="3"/>
    </row>
    <row r="159" spans="1:134" ht="15" customHeight="1" x14ac:dyDescent="0.25">
      <c r="A159" s="6" t="s">
        <v>298</v>
      </c>
      <c r="B159" s="2" t="s">
        <v>784</v>
      </c>
      <c r="C159" s="2" t="s">
        <v>1255</v>
      </c>
      <c r="D159" s="25" t="s">
        <v>1183</v>
      </c>
      <c r="E159" s="4" t="s">
        <v>1190</v>
      </c>
      <c r="F159" s="4" t="s">
        <v>1209</v>
      </c>
      <c r="G159" s="26">
        <v>1976</v>
      </c>
      <c r="H159" s="5"/>
      <c r="I159" s="5"/>
      <c r="J159" s="5"/>
      <c r="M159" s="5"/>
      <c r="N159" s="2" t="s">
        <v>1256</v>
      </c>
      <c r="O159" s="28" t="s">
        <v>2503</v>
      </c>
      <c r="P159" s="3"/>
      <c r="Q159" s="27">
        <v>2</v>
      </c>
      <c r="R159" s="3"/>
      <c r="S159" s="3"/>
      <c r="T159" s="3"/>
      <c r="U159" s="3"/>
      <c r="V159" s="3"/>
      <c r="W159" s="3"/>
      <c r="X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>
        <v>9</v>
      </c>
      <c r="BR159" s="3"/>
      <c r="BS159" s="3">
        <v>9</v>
      </c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 t="s">
        <v>1185</v>
      </c>
      <c r="CN159" s="3" t="s">
        <v>1185</v>
      </c>
      <c r="CO159" s="3" t="s">
        <v>1185</v>
      </c>
      <c r="CP159" s="3" t="s">
        <v>1185</v>
      </c>
      <c r="CQ159" s="3" t="s">
        <v>1185</v>
      </c>
      <c r="CR159" s="3" t="s">
        <v>1185</v>
      </c>
      <c r="CS159" s="3" t="s">
        <v>1185</v>
      </c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R159" s="3">
        <v>9</v>
      </c>
    </row>
    <row r="160" spans="1:134" ht="15" customHeight="1" x14ac:dyDescent="0.25">
      <c r="A160" s="6" t="s">
        <v>299</v>
      </c>
      <c r="B160" s="2" t="s">
        <v>784</v>
      </c>
      <c r="C160" s="2" t="s">
        <v>1257</v>
      </c>
      <c r="D160" s="25" t="s">
        <v>1183</v>
      </c>
      <c r="E160" s="4" t="s">
        <v>1190</v>
      </c>
      <c r="F160" s="4" t="s">
        <v>1209</v>
      </c>
      <c r="G160" s="26">
        <v>1976</v>
      </c>
      <c r="H160" s="5"/>
      <c r="I160" s="5"/>
      <c r="J160" s="5"/>
      <c r="M160" s="4" t="s">
        <v>1258</v>
      </c>
      <c r="N160" s="2" t="s">
        <v>1259</v>
      </c>
      <c r="O160" s="28" t="s">
        <v>2504</v>
      </c>
      <c r="P160" s="3"/>
      <c r="Q160" s="27">
        <v>2</v>
      </c>
      <c r="R160" s="3"/>
      <c r="S160" s="3"/>
      <c r="T160" s="3"/>
      <c r="U160" s="3"/>
      <c r="V160" s="3"/>
      <c r="W160" s="3">
        <v>3</v>
      </c>
      <c r="X160" s="3"/>
      <c r="Z160" s="3"/>
      <c r="AA160" s="3"/>
      <c r="AB160" s="3">
        <v>7</v>
      </c>
      <c r="AC160" s="3">
        <v>4</v>
      </c>
      <c r="AD160" s="3"/>
      <c r="AE160" s="3"/>
      <c r="AF160" s="3">
        <v>3</v>
      </c>
      <c r="AG160" s="3">
        <v>1</v>
      </c>
      <c r="AH160" s="3">
        <v>1</v>
      </c>
      <c r="AI160" s="3">
        <v>9</v>
      </c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>
        <v>9</v>
      </c>
      <c r="AX160" s="3"/>
      <c r="AY160" s="3">
        <v>1</v>
      </c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>
        <v>9</v>
      </c>
      <c r="BN160" s="3"/>
      <c r="BO160" s="3"/>
      <c r="BP160" s="3"/>
      <c r="BQ160" s="3"/>
      <c r="BR160" s="3">
        <v>1</v>
      </c>
      <c r="BS160" s="3">
        <v>1</v>
      </c>
      <c r="BT160" s="3">
        <v>1</v>
      </c>
      <c r="BU160" s="3">
        <v>1</v>
      </c>
      <c r="BV160" s="3">
        <v>1</v>
      </c>
      <c r="BW160" s="3">
        <v>1</v>
      </c>
      <c r="BX160" s="3">
        <v>1</v>
      </c>
      <c r="BY160" s="3">
        <v>1</v>
      </c>
      <c r="BZ160" s="3">
        <v>2</v>
      </c>
      <c r="CA160" s="3">
        <v>3</v>
      </c>
      <c r="CB160" s="3">
        <v>1</v>
      </c>
      <c r="CC160" s="3">
        <v>1</v>
      </c>
      <c r="CD160" s="3">
        <v>1</v>
      </c>
      <c r="CE160" s="19">
        <v>1</v>
      </c>
      <c r="CF160" s="19">
        <v>1</v>
      </c>
      <c r="CG160" s="3"/>
      <c r="CH160" s="3">
        <v>1</v>
      </c>
      <c r="CI160" s="3"/>
      <c r="CJ160" s="19">
        <v>1</v>
      </c>
      <c r="CK160" s="19">
        <v>1</v>
      </c>
      <c r="CL160" s="19">
        <v>2</v>
      </c>
      <c r="CM160" s="3" t="s">
        <v>1185</v>
      </c>
      <c r="CN160" s="3" t="s">
        <v>1185</v>
      </c>
      <c r="CO160" s="3" t="s">
        <v>1185</v>
      </c>
      <c r="CP160" s="3" t="s">
        <v>1185</v>
      </c>
      <c r="CQ160" s="3" t="s">
        <v>1185</v>
      </c>
      <c r="CR160" s="3" t="s">
        <v>1185</v>
      </c>
      <c r="CS160" s="3" t="s">
        <v>1185</v>
      </c>
      <c r="CT160" s="3"/>
      <c r="CU160" s="3"/>
      <c r="CV160" s="3"/>
      <c r="CW160" s="3"/>
      <c r="CX160" s="3"/>
      <c r="CY160" s="3"/>
      <c r="CZ160" s="3">
        <v>7</v>
      </c>
      <c r="DA160" s="3">
        <v>1</v>
      </c>
      <c r="DB160" s="3">
        <v>3</v>
      </c>
      <c r="DC160" s="3"/>
      <c r="DD160" s="3"/>
      <c r="DE160" s="3">
        <v>1</v>
      </c>
      <c r="DF160" s="3">
        <v>1</v>
      </c>
      <c r="DG160" s="3">
        <v>1</v>
      </c>
      <c r="DH160" s="3">
        <v>1</v>
      </c>
      <c r="DI160" s="3">
        <v>1</v>
      </c>
      <c r="DJ160" s="3">
        <v>1</v>
      </c>
      <c r="DK160" s="3">
        <v>1</v>
      </c>
      <c r="DL160" s="3"/>
      <c r="DM160" s="3"/>
      <c r="DN160" s="3"/>
      <c r="DO160" s="3"/>
      <c r="DP160" s="3"/>
      <c r="DQ160" s="19">
        <v>1</v>
      </c>
      <c r="DR160" s="3"/>
      <c r="EB160" s="3"/>
      <c r="EC160" s="3"/>
      <c r="ED160" s="3"/>
    </row>
    <row r="161" spans="1:142" ht="15" customHeight="1" x14ac:dyDescent="0.25">
      <c r="A161" s="6" t="s">
        <v>300</v>
      </c>
      <c r="B161" s="2" t="s">
        <v>784</v>
      </c>
      <c r="C161" s="2" t="s">
        <v>1260</v>
      </c>
      <c r="D161" s="25" t="s">
        <v>1183</v>
      </c>
      <c r="E161" s="4" t="s">
        <v>1190</v>
      </c>
      <c r="F161" s="4" t="s">
        <v>1209</v>
      </c>
      <c r="G161" s="26">
        <v>1976</v>
      </c>
      <c r="H161" s="5"/>
      <c r="I161" s="5"/>
      <c r="J161" s="5"/>
      <c r="M161" s="5"/>
      <c r="N161" s="2" t="s">
        <v>1261</v>
      </c>
      <c r="O161" s="28" t="s">
        <v>2505</v>
      </c>
      <c r="P161" s="3"/>
      <c r="Q161" s="27">
        <v>2</v>
      </c>
      <c r="R161" s="3"/>
      <c r="S161" s="3"/>
      <c r="T161" s="3"/>
      <c r="U161" s="3"/>
      <c r="V161" s="3"/>
      <c r="W161" s="3"/>
      <c r="X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>
        <v>9</v>
      </c>
      <c r="BR161" s="3"/>
      <c r="BS161" s="3">
        <v>9</v>
      </c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 t="s">
        <v>1185</v>
      </c>
      <c r="CN161" s="3" t="s">
        <v>1185</v>
      </c>
      <c r="CO161" s="3" t="s">
        <v>1185</v>
      </c>
      <c r="CP161" s="3" t="s">
        <v>1185</v>
      </c>
      <c r="CQ161" s="3" t="s">
        <v>1185</v>
      </c>
      <c r="CR161" s="3" t="s">
        <v>1185</v>
      </c>
      <c r="CS161" s="3" t="s">
        <v>1185</v>
      </c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R161" s="3">
        <v>9</v>
      </c>
    </row>
    <row r="162" spans="1:142" ht="15" customHeight="1" x14ac:dyDescent="0.25">
      <c r="A162" s="6" t="s">
        <v>301</v>
      </c>
      <c r="B162" s="2" t="s">
        <v>784</v>
      </c>
      <c r="C162" s="2" t="s">
        <v>1262</v>
      </c>
      <c r="D162" s="25" t="s">
        <v>1183</v>
      </c>
      <c r="E162" s="4" t="s">
        <v>1190</v>
      </c>
      <c r="F162" s="4" t="s">
        <v>1209</v>
      </c>
      <c r="G162" s="26">
        <v>1976</v>
      </c>
      <c r="H162" s="5"/>
      <c r="I162" s="5"/>
      <c r="J162" s="5"/>
      <c r="M162" s="5"/>
      <c r="N162" s="2" t="s">
        <v>1263</v>
      </c>
      <c r="O162" s="28" t="s">
        <v>2506</v>
      </c>
      <c r="P162" s="3"/>
      <c r="Q162" s="27">
        <v>2</v>
      </c>
      <c r="R162" s="3"/>
      <c r="S162" s="3"/>
      <c r="T162" s="3"/>
      <c r="U162" s="3"/>
      <c r="V162" s="3"/>
      <c r="W162" s="3">
        <v>3</v>
      </c>
      <c r="X162" s="3"/>
      <c r="Z162" s="3"/>
      <c r="AA162" s="3"/>
      <c r="AB162" s="3">
        <v>3</v>
      </c>
      <c r="AC162" s="3">
        <v>5</v>
      </c>
      <c r="AD162" s="3"/>
      <c r="AE162" s="3"/>
      <c r="AF162" s="3">
        <v>3</v>
      </c>
      <c r="AG162" s="3">
        <v>1</v>
      </c>
      <c r="AH162" s="3">
        <v>1</v>
      </c>
      <c r="AI162" s="3">
        <v>9</v>
      </c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>
        <v>9</v>
      </c>
      <c r="AX162" s="3"/>
      <c r="AY162" s="3">
        <v>9</v>
      </c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>
        <v>4</v>
      </c>
      <c r="BO162" s="3"/>
      <c r="BP162" s="3"/>
      <c r="BQ162" s="3">
        <v>9</v>
      </c>
      <c r="BR162" s="3">
        <v>9</v>
      </c>
      <c r="BS162" s="3">
        <v>9</v>
      </c>
      <c r="BT162" s="3">
        <v>9</v>
      </c>
      <c r="BU162" s="3">
        <v>9</v>
      </c>
      <c r="BV162" s="3">
        <v>9</v>
      </c>
      <c r="BW162" s="3">
        <v>9</v>
      </c>
      <c r="BX162" s="3">
        <v>9</v>
      </c>
      <c r="BY162" s="3">
        <v>9</v>
      </c>
      <c r="BZ162" s="3">
        <v>9</v>
      </c>
      <c r="CA162" s="3">
        <v>9</v>
      </c>
      <c r="CB162" s="3">
        <v>9</v>
      </c>
      <c r="CC162" s="3">
        <v>9</v>
      </c>
      <c r="CD162" s="3">
        <v>9</v>
      </c>
      <c r="CE162" s="3"/>
      <c r="CF162" s="3"/>
      <c r="CG162" s="3"/>
      <c r="CH162" s="3"/>
      <c r="CI162" s="3"/>
      <c r="CJ162" s="3"/>
      <c r="CK162" s="3"/>
      <c r="CL162" s="3"/>
      <c r="CM162" s="3" t="s">
        <v>1185</v>
      </c>
      <c r="CN162" s="3" t="s">
        <v>1185</v>
      </c>
      <c r="CO162" s="3" t="s">
        <v>1185</v>
      </c>
      <c r="CP162" s="3" t="s">
        <v>1185</v>
      </c>
      <c r="CQ162" s="3" t="s">
        <v>1185</v>
      </c>
      <c r="CR162" s="3" t="s">
        <v>1185</v>
      </c>
      <c r="CS162" s="3" t="s">
        <v>1185</v>
      </c>
      <c r="CT162" s="3"/>
      <c r="CU162" s="3"/>
      <c r="CV162" s="3"/>
      <c r="CW162" s="3"/>
      <c r="CX162" s="3"/>
      <c r="CY162" s="3"/>
      <c r="CZ162" s="3">
        <v>9</v>
      </c>
      <c r="DA162" s="3">
        <v>9</v>
      </c>
      <c r="DB162" s="3">
        <v>9</v>
      </c>
      <c r="DC162" s="3">
        <v>9</v>
      </c>
      <c r="DD162" s="3">
        <v>9</v>
      </c>
      <c r="DE162" s="3">
        <v>9</v>
      </c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R162" s="3"/>
    </row>
    <row r="163" spans="1:142" ht="15" customHeight="1" x14ac:dyDescent="0.25">
      <c r="A163" s="6" t="s">
        <v>302</v>
      </c>
      <c r="B163" s="2" t="s">
        <v>784</v>
      </c>
      <c r="C163" s="2" t="s">
        <v>1264</v>
      </c>
      <c r="D163" s="25" t="s">
        <v>1183</v>
      </c>
      <c r="E163" s="4" t="s">
        <v>1190</v>
      </c>
      <c r="F163" s="4" t="s">
        <v>813</v>
      </c>
      <c r="G163" s="26">
        <v>1978</v>
      </c>
      <c r="H163" s="5"/>
      <c r="I163" s="5"/>
      <c r="J163" s="5"/>
      <c r="M163" s="5"/>
      <c r="N163" s="2" t="s">
        <v>1265</v>
      </c>
      <c r="O163" s="28" t="s">
        <v>2507</v>
      </c>
      <c r="P163" s="3"/>
      <c r="Q163" s="27">
        <v>2</v>
      </c>
      <c r="R163" s="3"/>
      <c r="S163" s="3">
        <v>1</v>
      </c>
      <c r="T163" s="3"/>
      <c r="U163" s="3"/>
      <c r="V163" s="3"/>
      <c r="W163" s="3">
        <v>4</v>
      </c>
      <c r="X163" s="3"/>
      <c r="Z163" s="3"/>
      <c r="AA163" s="3"/>
      <c r="AB163" s="3">
        <v>8</v>
      </c>
      <c r="AC163" s="3">
        <v>6</v>
      </c>
      <c r="AD163" s="3"/>
      <c r="AE163" s="3"/>
      <c r="AF163" s="3">
        <v>1</v>
      </c>
      <c r="AG163" s="3"/>
      <c r="AH163" s="3"/>
      <c r="AI163" s="3"/>
      <c r="AJ163" s="3">
        <v>5</v>
      </c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>
        <v>2</v>
      </c>
      <c r="AY163" s="3"/>
      <c r="AZ163" s="3">
        <v>1</v>
      </c>
      <c r="BA163" s="3">
        <v>1</v>
      </c>
      <c r="BB163" s="3">
        <v>9</v>
      </c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>
        <v>9</v>
      </c>
      <c r="BR163" s="3"/>
      <c r="BS163" s="3">
        <v>9</v>
      </c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 t="s">
        <v>1185</v>
      </c>
      <c r="CN163" s="3" t="s">
        <v>1185</v>
      </c>
      <c r="CO163" s="3" t="s">
        <v>1185</v>
      </c>
      <c r="CP163" s="3" t="s">
        <v>1185</v>
      </c>
      <c r="CQ163" s="3" t="s">
        <v>1185</v>
      </c>
      <c r="CR163" s="3" t="s">
        <v>1185</v>
      </c>
      <c r="CS163" s="3" t="s">
        <v>1185</v>
      </c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R163" s="3">
        <v>9</v>
      </c>
    </row>
    <row r="164" spans="1:142" ht="15" customHeight="1" x14ac:dyDescent="0.25">
      <c r="A164" s="6" t="s">
        <v>303</v>
      </c>
      <c r="B164" s="2" t="s">
        <v>784</v>
      </c>
      <c r="C164" s="2" t="s">
        <v>1266</v>
      </c>
      <c r="D164" s="25" t="s">
        <v>1183</v>
      </c>
      <c r="E164" s="4" t="s">
        <v>1190</v>
      </c>
      <c r="F164" s="4" t="s">
        <v>793</v>
      </c>
      <c r="G164" s="26">
        <v>1978</v>
      </c>
      <c r="H164" s="5"/>
      <c r="I164" s="5"/>
      <c r="J164" s="5"/>
      <c r="M164" s="5"/>
      <c r="N164" s="2" t="s">
        <v>1267</v>
      </c>
      <c r="O164" s="28" t="s">
        <v>2508</v>
      </c>
      <c r="P164" s="3"/>
      <c r="Q164" s="27">
        <v>2</v>
      </c>
      <c r="R164" s="3"/>
      <c r="S164" s="3"/>
      <c r="T164" s="3"/>
      <c r="U164" s="3"/>
      <c r="V164" s="3"/>
      <c r="W164" s="3"/>
      <c r="X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>
        <v>9</v>
      </c>
      <c r="BR164" s="3"/>
      <c r="BS164" s="3">
        <v>9</v>
      </c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 t="s">
        <v>1185</v>
      </c>
      <c r="CN164" s="3" t="s">
        <v>1185</v>
      </c>
      <c r="CO164" s="3" t="s">
        <v>1185</v>
      </c>
      <c r="CP164" s="3" t="s">
        <v>1185</v>
      </c>
      <c r="CQ164" s="3" t="s">
        <v>1185</v>
      </c>
      <c r="CR164" s="3" t="s">
        <v>1185</v>
      </c>
      <c r="CS164" s="3" t="s">
        <v>1185</v>
      </c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19">
        <v>9</v>
      </c>
      <c r="DR164" s="3"/>
    </row>
    <row r="165" spans="1:142" ht="15" customHeight="1" x14ac:dyDescent="0.25">
      <c r="A165" s="6" t="s">
        <v>304</v>
      </c>
      <c r="B165" s="2" t="s">
        <v>784</v>
      </c>
      <c r="C165" s="2" t="s">
        <v>1268</v>
      </c>
      <c r="D165" s="25" t="s">
        <v>1183</v>
      </c>
      <c r="E165" s="4" t="s">
        <v>1190</v>
      </c>
      <c r="F165" s="4" t="s">
        <v>793</v>
      </c>
      <c r="G165" s="26">
        <v>1978</v>
      </c>
      <c r="H165" s="5"/>
      <c r="I165" s="5"/>
      <c r="J165" s="5"/>
      <c r="M165" s="5"/>
      <c r="N165" s="2" t="s">
        <v>1269</v>
      </c>
      <c r="O165" s="28" t="s">
        <v>2509</v>
      </c>
      <c r="P165" s="3"/>
      <c r="Q165" s="27">
        <v>2</v>
      </c>
      <c r="R165" s="3"/>
      <c r="S165" s="3">
        <v>1</v>
      </c>
      <c r="T165" s="3"/>
      <c r="U165" s="3">
        <v>9</v>
      </c>
      <c r="V165" s="3"/>
      <c r="W165" s="3">
        <v>3</v>
      </c>
      <c r="X165" s="3"/>
      <c r="Z165" s="3"/>
      <c r="AA165" s="3"/>
      <c r="AB165" s="3">
        <v>1</v>
      </c>
      <c r="AC165" s="3">
        <v>5</v>
      </c>
      <c r="AD165" s="3"/>
      <c r="AE165" s="3"/>
      <c r="AF165" s="3">
        <v>1</v>
      </c>
      <c r="AG165" s="3"/>
      <c r="AH165" s="3"/>
      <c r="AI165" s="3">
        <v>9</v>
      </c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>
        <v>9</v>
      </c>
      <c r="AX165" s="3"/>
      <c r="AY165" s="3">
        <v>9</v>
      </c>
      <c r="AZ165" s="3"/>
      <c r="BA165" s="3">
        <v>1</v>
      </c>
      <c r="BB165" s="3">
        <v>9</v>
      </c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>
        <v>9</v>
      </c>
      <c r="BN165" s="3">
        <v>4</v>
      </c>
      <c r="BO165" s="3"/>
      <c r="BP165" s="3"/>
      <c r="BQ165" s="3">
        <v>9</v>
      </c>
      <c r="BR165" s="3">
        <v>8</v>
      </c>
      <c r="BS165" s="3">
        <v>9</v>
      </c>
      <c r="BT165" s="19">
        <v>7</v>
      </c>
      <c r="BU165" s="3">
        <v>9</v>
      </c>
      <c r="BV165" s="19">
        <v>7</v>
      </c>
      <c r="BW165" s="19">
        <v>7</v>
      </c>
      <c r="BX165" s="19">
        <v>1</v>
      </c>
      <c r="BY165" s="19">
        <v>9</v>
      </c>
      <c r="BZ165" s="19">
        <v>8</v>
      </c>
      <c r="CA165" s="19">
        <v>8</v>
      </c>
      <c r="CB165" s="19">
        <v>9</v>
      </c>
      <c r="CC165" s="19">
        <v>9</v>
      </c>
      <c r="CD165" s="3">
        <v>9</v>
      </c>
      <c r="CE165" s="19">
        <v>9</v>
      </c>
      <c r="CF165" s="3">
        <v>9</v>
      </c>
      <c r="CG165" s="19">
        <v>9</v>
      </c>
      <c r="CH165" s="3">
        <v>9</v>
      </c>
      <c r="CI165" s="3">
        <v>9</v>
      </c>
      <c r="CJ165" s="3">
        <v>7</v>
      </c>
      <c r="CK165" s="3">
        <v>5</v>
      </c>
      <c r="CL165" s="3">
        <v>3</v>
      </c>
      <c r="CM165" s="3" t="s">
        <v>1185</v>
      </c>
      <c r="CN165" s="3" t="s">
        <v>1185</v>
      </c>
      <c r="CO165" s="3" t="s">
        <v>1185</v>
      </c>
      <c r="CP165" s="3" t="s">
        <v>1185</v>
      </c>
      <c r="CQ165" s="3" t="s">
        <v>1185</v>
      </c>
      <c r="CR165" s="3" t="s">
        <v>1185</v>
      </c>
      <c r="CS165" s="3" t="s">
        <v>1185</v>
      </c>
      <c r="CT165" s="3">
        <v>9</v>
      </c>
      <c r="CU165" s="3">
        <v>9</v>
      </c>
      <c r="CV165" s="3">
        <v>9</v>
      </c>
      <c r="CW165" s="3">
        <v>9</v>
      </c>
      <c r="CX165" s="3">
        <v>3</v>
      </c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19">
        <v>9</v>
      </c>
      <c r="DR165" s="3"/>
      <c r="DY165" s="3"/>
      <c r="DZ165" s="3"/>
      <c r="EE165" s="3"/>
      <c r="EF165" s="3"/>
      <c r="EG165" s="3"/>
      <c r="EH165" s="3"/>
      <c r="EI165" s="3"/>
      <c r="EJ165" s="3"/>
      <c r="EK165" s="3"/>
      <c r="EL165" s="3"/>
    </row>
    <row r="166" spans="1:142" ht="15" customHeight="1" x14ac:dyDescent="0.25">
      <c r="A166" s="6" t="s">
        <v>305</v>
      </c>
      <c r="B166" s="2" t="s">
        <v>784</v>
      </c>
      <c r="C166" s="2" t="s">
        <v>1270</v>
      </c>
      <c r="D166" s="25" t="s">
        <v>1183</v>
      </c>
      <c r="E166" s="4" t="s">
        <v>1190</v>
      </c>
      <c r="F166" s="4" t="s">
        <v>1209</v>
      </c>
      <c r="G166" s="26">
        <v>1976</v>
      </c>
      <c r="H166" s="5"/>
      <c r="I166" s="5"/>
      <c r="J166" s="5"/>
      <c r="M166" s="5"/>
      <c r="N166" s="2" t="s">
        <v>1271</v>
      </c>
      <c r="O166" s="28" t="s">
        <v>2510</v>
      </c>
      <c r="P166" s="3"/>
      <c r="Q166" s="27">
        <v>2</v>
      </c>
      <c r="R166" s="3"/>
      <c r="S166" s="3"/>
      <c r="T166" s="3">
        <v>3</v>
      </c>
      <c r="U166" s="3">
        <v>9</v>
      </c>
      <c r="V166" s="3"/>
      <c r="W166" s="3"/>
      <c r="X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>
        <v>9</v>
      </c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>
        <v>9</v>
      </c>
      <c r="BN166" s="3"/>
      <c r="BO166" s="3"/>
      <c r="BP166" s="3"/>
      <c r="BQ166" s="3">
        <v>9</v>
      </c>
      <c r="BR166" s="3">
        <v>9</v>
      </c>
      <c r="BS166" s="3">
        <v>9</v>
      </c>
      <c r="BT166" s="19">
        <v>9</v>
      </c>
      <c r="BU166" s="3">
        <v>9</v>
      </c>
      <c r="BV166" s="19">
        <v>3</v>
      </c>
      <c r="BW166" s="19">
        <v>9</v>
      </c>
      <c r="BX166" s="3"/>
      <c r="BY166" s="3"/>
      <c r="BZ166" s="19">
        <v>9</v>
      </c>
      <c r="CA166" s="19">
        <v>6</v>
      </c>
      <c r="CB166" s="19">
        <v>9</v>
      </c>
      <c r="CC166" s="19">
        <v>9</v>
      </c>
      <c r="CD166" s="3">
        <v>9</v>
      </c>
      <c r="CE166" s="19">
        <v>1</v>
      </c>
      <c r="CF166" s="19">
        <v>9</v>
      </c>
      <c r="CG166" s="3"/>
      <c r="CH166" s="3">
        <v>9</v>
      </c>
      <c r="CI166" s="3">
        <v>9</v>
      </c>
      <c r="CJ166" s="19">
        <v>9</v>
      </c>
      <c r="CK166" s="19">
        <v>9</v>
      </c>
      <c r="CL166" s="19">
        <v>9</v>
      </c>
      <c r="CM166" s="19">
        <v>9</v>
      </c>
      <c r="CN166" s="3" t="s">
        <v>1185</v>
      </c>
      <c r="CO166" s="3" t="s">
        <v>1185</v>
      </c>
      <c r="CP166" s="3" t="s">
        <v>1185</v>
      </c>
      <c r="CQ166" s="3" t="s">
        <v>1185</v>
      </c>
      <c r="CR166" s="3" t="s">
        <v>1185</v>
      </c>
      <c r="CS166" s="3" t="s">
        <v>1185</v>
      </c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R166" s="3">
        <v>9</v>
      </c>
    </row>
    <row r="167" spans="1:142" ht="15" customHeight="1" x14ac:dyDescent="0.25">
      <c r="A167" s="6" t="s">
        <v>306</v>
      </c>
      <c r="B167" s="2" t="s">
        <v>784</v>
      </c>
      <c r="C167" s="2" t="s">
        <v>1272</v>
      </c>
      <c r="D167" s="25" t="s">
        <v>1183</v>
      </c>
      <c r="E167" s="4" t="s">
        <v>1190</v>
      </c>
      <c r="F167" s="4" t="s">
        <v>1209</v>
      </c>
      <c r="G167" s="26">
        <v>1976</v>
      </c>
      <c r="H167" s="5"/>
      <c r="I167" s="5"/>
      <c r="J167" s="5"/>
      <c r="M167" s="5"/>
      <c r="N167" s="2" t="s">
        <v>1273</v>
      </c>
      <c r="O167" s="28" t="s">
        <v>2511</v>
      </c>
      <c r="P167" s="3"/>
      <c r="Q167" s="27">
        <v>2</v>
      </c>
      <c r="R167" s="19">
        <v>6</v>
      </c>
      <c r="S167" s="3"/>
      <c r="T167" s="3"/>
      <c r="U167" s="3">
        <v>9</v>
      </c>
      <c r="V167" s="3"/>
      <c r="W167" s="3"/>
      <c r="X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>
        <v>9</v>
      </c>
      <c r="BC167" s="3"/>
      <c r="BD167" s="3"/>
      <c r="BE167" s="3"/>
      <c r="BF167" s="3"/>
      <c r="BG167" s="3">
        <v>9</v>
      </c>
      <c r="BH167" s="3"/>
      <c r="BI167" s="3"/>
      <c r="BJ167" s="3"/>
      <c r="BK167" s="3"/>
      <c r="BL167" s="3"/>
      <c r="BM167" s="3">
        <v>8</v>
      </c>
      <c r="BN167" s="3"/>
      <c r="BO167" s="3"/>
      <c r="BP167" s="3"/>
      <c r="BQ167" s="3">
        <v>9</v>
      </c>
      <c r="BR167" s="3">
        <v>9</v>
      </c>
      <c r="BS167" s="3">
        <v>9</v>
      </c>
      <c r="BT167" s="19">
        <v>7</v>
      </c>
      <c r="BU167" s="3">
        <v>1</v>
      </c>
      <c r="BV167" s="19">
        <v>9</v>
      </c>
      <c r="BW167" s="19">
        <v>7</v>
      </c>
      <c r="BX167" s="19">
        <v>9</v>
      </c>
      <c r="BY167" s="19">
        <v>9</v>
      </c>
      <c r="BZ167" s="19">
        <v>8</v>
      </c>
      <c r="CA167" s="19">
        <v>9</v>
      </c>
      <c r="CB167" s="19">
        <v>9</v>
      </c>
      <c r="CC167" s="19">
        <v>1</v>
      </c>
      <c r="CD167" s="3">
        <v>1</v>
      </c>
      <c r="CE167" s="19">
        <v>9</v>
      </c>
      <c r="CF167" s="3">
        <v>1</v>
      </c>
      <c r="CG167" s="19">
        <v>9</v>
      </c>
      <c r="CH167" s="3">
        <v>1</v>
      </c>
      <c r="CI167" s="3">
        <v>1</v>
      </c>
      <c r="CJ167" s="3">
        <v>9</v>
      </c>
      <c r="CK167" s="3">
        <v>2</v>
      </c>
      <c r="CL167" s="3">
        <v>1</v>
      </c>
      <c r="CM167" s="3" t="s">
        <v>1185</v>
      </c>
      <c r="CN167" s="3" t="s">
        <v>1185</v>
      </c>
      <c r="CO167" s="3" t="s">
        <v>1185</v>
      </c>
      <c r="CP167" s="3" t="s">
        <v>1185</v>
      </c>
      <c r="CR167" s="3" t="s">
        <v>1185</v>
      </c>
      <c r="CS167" s="3" t="s">
        <v>1185</v>
      </c>
      <c r="CT167" s="3">
        <v>9</v>
      </c>
      <c r="CU167" s="3">
        <v>9</v>
      </c>
      <c r="CV167" s="3">
        <v>9</v>
      </c>
      <c r="CW167" s="3">
        <v>9</v>
      </c>
      <c r="CX167" s="3">
        <v>9</v>
      </c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R167" s="3"/>
      <c r="EA167" s="3"/>
      <c r="EE167" s="3"/>
      <c r="EF167" s="3"/>
      <c r="EG167" s="3"/>
      <c r="EH167" s="3"/>
      <c r="EI167" s="3"/>
      <c r="EJ167" s="3"/>
      <c r="EK167" s="3"/>
      <c r="EL167" s="3"/>
    </row>
    <row r="168" spans="1:142" ht="15" customHeight="1" x14ac:dyDescent="0.25">
      <c r="A168" s="6" t="s">
        <v>307</v>
      </c>
      <c r="B168" s="2" t="s">
        <v>784</v>
      </c>
      <c r="C168" s="2" t="s">
        <v>1274</v>
      </c>
      <c r="D168" s="25" t="s">
        <v>1183</v>
      </c>
      <c r="E168" s="4" t="s">
        <v>1190</v>
      </c>
      <c r="F168" s="4" t="s">
        <v>1209</v>
      </c>
      <c r="G168" s="26">
        <v>1976</v>
      </c>
      <c r="H168" s="5"/>
      <c r="I168" s="5"/>
      <c r="J168" s="5"/>
      <c r="M168" s="5"/>
      <c r="N168" s="2" t="s">
        <v>1275</v>
      </c>
      <c r="O168" s="28" t="s">
        <v>2512</v>
      </c>
      <c r="P168" s="3"/>
      <c r="Q168" s="27">
        <v>2</v>
      </c>
      <c r="R168" s="19">
        <v>6</v>
      </c>
      <c r="S168" s="3"/>
      <c r="T168" s="3">
        <v>3</v>
      </c>
      <c r="U168" s="3">
        <v>9</v>
      </c>
      <c r="V168" s="3"/>
      <c r="W168" s="3"/>
      <c r="X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>
        <v>9</v>
      </c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>
        <v>9</v>
      </c>
      <c r="BN168" s="3"/>
      <c r="BO168" s="3"/>
      <c r="BP168" s="3"/>
      <c r="BQ168" s="3">
        <v>9</v>
      </c>
      <c r="BR168" s="3">
        <v>9</v>
      </c>
      <c r="BS168" s="3">
        <v>9</v>
      </c>
      <c r="BT168" s="19">
        <v>9</v>
      </c>
      <c r="BU168" s="3">
        <v>3</v>
      </c>
      <c r="BV168" s="19">
        <v>9</v>
      </c>
      <c r="BW168" s="19">
        <v>9</v>
      </c>
      <c r="BX168" s="19">
        <v>9</v>
      </c>
      <c r="BY168" s="3"/>
      <c r="BZ168" s="19">
        <v>8</v>
      </c>
      <c r="CA168" s="19">
        <v>9</v>
      </c>
      <c r="CB168" s="19">
        <v>9</v>
      </c>
      <c r="CC168" s="19">
        <v>9</v>
      </c>
      <c r="CD168" s="3">
        <v>9</v>
      </c>
      <c r="CE168" s="3"/>
      <c r="CF168" s="3">
        <v>9</v>
      </c>
      <c r="CG168" s="3"/>
      <c r="CH168" s="3">
        <v>9</v>
      </c>
      <c r="CI168" s="3">
        <v>9</v>
      </c>
      <c r="CJ168" s="3">
        <v>9</v>
      </c>
      <c r="CK168" s="3">
        <v>9</v>
      </c>
      <c r="CL168" s="3">
        <v>9</v>
      </c>
      <c r="CM168" s="3" t="s">
        <v>1185</v>
      </c>
      <c r="CN168" s="3" t="s">
        <v>1185</v>
      </c>
      <c r="CO168" s="3" t="s">
        <v>1185</v>
      </c>
      <c r="CP168" s="3"/>
      <c r="CQ168" s="3" t="s">
        <v>1185</v>
      </c>
      <c r="CR168" s="3" t="s">
        <v>1185</v>
      </c>
      <c r="CS168" s="3" t="s">
        <v>1185</v>
      </c>
      <c r="CT168" s="3">
        <v>8</v>
      </c>
      <c r="CU168" s="3">
        <v>9</v>
      </c>
      <c r="CV168" s="3">
        <v>9</v>
      </c>
      <c r="CW168" s="3">
        <v>9</v>
      </c>
      <c r="CX168" s="3">
        <v>9</v>
      </c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R168" s="3"/>
    </row>
    <row r="169" spans="1:142" ht="15" customHeight="1" x14ac:dyDescent="0.25">
      <c r="A169" s="6" t="s">
        <v>308</v>
      </c>
      <c r="B169" s="2" t="s">
        <v>784</v>
      </c>
      <c r="C169" s="2" t="s">
        <v>1276</v>
      </c>
      <c r="D169" s="25" t="s">
        <v>1183</v>
      </c>
      <c r="E169" s="4" t="s">
        <v>1190</v>
      </c>
      <c r="F169" s="4" t="s">
        <v>1209</v>
      </c>
      <c r="G169" s="26">
        <v>1976</v>
      </c>
      <c r="H169" s="5"/>
      <c r="I169" s="5"/>
      <c r="J169" s="5"/>
      <c r="M169" s="5"/>
      <c r="N169" s="2" t="s">
        <v>1277</v>
      </c>
      <c r="O169" s="28" t="s">
        <v>2513</v>
      </c>
      <c r="P169" s="3"/>
      <c r="Q169" s="27">
        <v>2</v>
      </c>
      <c r="R169" s="19">
        <v>5</v>
      </c>
      <c r="S169" s="3"/>
      <c r="T169" s="3"/>
      <c r="U169" s="3">
        <v>9</v>
      </c>
      <c r="V169" s="3"/>
      <c r="W169" s="3"/>
      <c r="X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>
        <v>9</v>
      </c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>
        <v>9</v>
      </c>
      <c r="BN169" s="3"/>
      <c r="BO169" s="3"/>
      <c r="BP169" s="3"/>
      <c r="BQ169" s="3">
        <v>8</v>
      </c>
      <c r="BR169" s="3">
        <v>7</v>
      </c>
      <c r="BS169" s="3">
        <v>9</v>
      </c>
      <c r="BT169" s="19">
        <v>9</v>
      </c>
      <c r="BU169" s="3"/>
      <c r="BV169" s="19">
        <v>9</v>
      </c>
      <c r="BW169" s="19">
        <v>8</v>
      </c>
      <c r="BX169" s="19">
        <v>8</v>
      </c>
      <c r="BY169" s="19">
        <v>7</v>
      </c>
      <c r="BZ169" s="19">
        <v>7</v>
      </c>
      <c r="CA169" s="19">
        <v>7</v>
      </c>
      <c r="CB169" s="19">
        <v>9</v>
      </c>
      <c r="CC169" s="19">
        <v>2</v>
      </c>
      <c r="CD169" s="3">
        <v>2</v>
      </c>
      <c r="CE169" s="19">
        <v>7</v>
      </c>
      <c r="CF169" s="3">
        <v>4</v>
      </c>
      <c r="CG169" s="19">
        <v>7</v>
      </c>
      <c r="CH169" s="3">
        <v>2</v>
      </c>
      <c r="CI169" s="3">
        <v>1</v>
      </c>
      <c r="CJ169" s="3">
        <v>9</v>
      </c>
      <c r="CK169" s="3">
        <v>5</v>
      </c>
      <c r="CL169" s="3">
        <v>5</v>
      </c>
      <c r="CM169" s="3" t="s">
        <v>1185</v>
      </c>
      <c r="CN169" s="3" t="s">
        <v>1185</v>
      </c>
      <c r="CO169" s="3" t="s">
        <v>1185</v>
      </c>
      <c r="CP169" s="3"/>
      <c r="CQ169" s="3" t="s">
        <v>1185</v>
      </c>
      <c r="CR169" s="3" t="s">
        <v>1185</v>
      </c>
      <c r="CS169" s="3" t="s">
        <v>1185</v>
      </c>
      <c r="CT169" s="3">
        <v>9</v>
      </c>
      <c r="CU169" s="3">
        <v>9</v>
      </c>
      <c r="CV169" s="3">
        <v>7</v>
      </c>
      <c r="CW169" s="3">
        <v>9</v>
      </c>
      <c r="CX169" s="3">
        <v>9</v>
      </c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R169" s="3"/>
      <c r="DY169" s="3"/>
      <c r="DZ169" s="3"/>
      <c r="EA169" s="3"/>
    </row>
    <row r="170" spans="1:142" ht="15" customHeight="1" x14ac:dyDescent="0.25">
      <c r="A170" s="6" t="s">
        <v>309</v>
      </c>
      <c r="B170" s="2" t="s">
        <v>784</v>
      </c>
      <c r="C170" s="2" t="s">
        <v>1278</v>
      </c>
      <c r="D170" s="25" t="s">
        <v>1183</v>
      </c>
      <c r="E170" s="4" t="s">
        <v>1190</v>
      </c>
      <c r="F170" s="4" t="s">
        <v>1209</v>
      </c>
      <c r="G170" s="26">
        <v>1976</v>
      </c>
      <c r="H170" s="5"/>
      <c r="I170" s="5"/>
      <c r="J170" s="5"/>
      <c r="M170" s="5"/>
      <c r="N170" s="2" t="s">
        <v>1279</v>
      </c>
      <c r="O170" s="28" t="s">
        <v>2514</v>
      </c>
      <c r="P170" s="3"/>
      <c r="Q170" s="27">
        <v>2</v>
      </c>
      <c r="R170" s="3"/>
      <c r="S170" s="3"/>
      <c r="T170" s="3">
        <v>3</v>
      </c>
      <c r="U170" s="3">
        <v>9</v>
      </c>
      <c r="V170" s="3"/>
      <c r="W170" s="3"/>
      <c r="X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>
        <v>9</v>
      </c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>
        <v>9</v>
      </c>
      <c r="BN170" s="3">
        <v>4</v>
      </c>
      <c r="BO170" s="3"/>
      <c r="BP170" s="3"/>
      <c r="BQ170" s="3">
        <v>9</v>
      </c>
      <c r="BR170" s="3">
        <v>9</v>
      </c>
      <c r="BS170" s="3">
        <v>9</v>
      </c>
      <c r="BT170" s="19">
        <v>8</v>
      </c>
      <c r="BU170" s="3">
        <v>5</v>
      </c>
      <c r="BV170" s="19">
        <v>9</v>
      </c>
      <c r="BW170" s="19">
        <v>9</v>
      </c>
      <c r="BX170" s="19">
        <v>6</v>
      </c>
      <c r="BY170" s="3"/>
      <c r="BZ170" s="19">
        <v>9</v>
      </c>
      <c r="CA170" s="19">
        <v>7</v>
      </c>
      <c r="CB170" s="19">
        <v>8</v>
      </c>
      <c r="CC170" s="19">
        <v>9</v>
      </c>
      <c r="CD170" s="3">
        <v>9</v>
      </c>
      <c r="CE170" s="19">
        <v>7</v>
      </c>
      <c r="CF170" s="19">
        <v>9</v>
      </c>
      <c r="CG170" s="3"/>
      <c r="CH170" s="3">
        <v>9</v>
      </c>
      <c r="CI170" s="3">
        <v>9</v>
      </c>
      <c r="CJ170" s="19">
        <v>9</v>
      </c>
      <c r="CK170" s="19">
        <v>9</v>
      </c>
      <c r="CL170" s="19">
        <v>9</v>
      </c>
      <c r="CM170" s="19">
        <v>8</v>
      </c>
      <c r="CN170" s="3" t="s">
        <v>1185</v>
      </c>
      <c r="CO170" s="3" t="s">
        <v>1185</v>
      </c>
      <c r="CP170" s="3"/>
      <c r="CQ170" s="3" t="s">
        <v>1185</v>
      </c>
      <c r="CR170" s="3" t="s">
        <v>1185</v>
      </c>
      <c r="CS170" s="3" t="s">
        <v>1185</v>
      </c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R170" s="3">
        <v>9</v>
      </c>
      <c r="DU170" s="3"/>
      <c r="DV170" s="3"/>
      <c r="DW170" s="3"/>
    </row>
    <row r="171" spans="1:142" ht="15" customHeight="1" x14ac:dyDescent="0.25">
      <c r="A171" s="6" t="s">
        <v>310</v>
      </c>
      <c r="B171" s="2" t="s">
        <v>784</v>
      </c>
      <c r="C171" s="2" t="s">
        <v>1280</v>
      </c>
      <c r="D171" s="25" t="s">
        <v>1183</v>
      </c>
      <c r="E171" s="4" t="s">
        <v>1190</v>
      </c>
      <c r="F171" s="4" t="s">
        <v>793</v>
      </c>
      <c r="G171" s="26">
        <v>1979</v>
      </c>
      <c r="H171" s="5"/>
      <c r="I171" s="5"/>
      <c r="J171" s="5"/>
      <c r="M171" s="5"/>
      <c r="N171" s="2" t="s">
        <v>1281</v>
      </c>
      <c r="O171" s="28" t="s">
        <v>2515</v>
      </c>
      <c r="P171" s="3"/>
      <c r="Q171" s="27">
        <v>2</v>
      </c>
      <c r="R171" s="3"/>
      <c r="S171" s="3">
        <v>1</v>
      </c>
      <c r="T171" s="3">
        <v>3</v>
      </c>
      <c r="U171" s="3">
        <v>9</v>
      </c>
      <c r="V171" s="3"/>
      <c r="W171" s="3">
        <v>3</v>
      </c>
      <c r="X171" s="3"/>
      <c r="Z171" s="3"/>
      <c r="AA171" s="3"/>
      <c r="AB171" s="3">
        <v>2</v>
      </c>
      <c r="AC171" s="3">
        <v>3</v>
      </c>
      <c r="AD171" s="3"/>
      <c r="AE171" s="3"/>
      <c r="AF171" s="3">
        <v>3</v>
      </c>
      <c r="AG171" s="3">
        <v>1</v>
      </c>
      <c r="AH171" s="3">
        <v>1</v>
      </c>
      <c r="AI171" s="3">
        <v>9</v>
      </c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>
        <v>9</v>
      </c>
      <c r="AX171" s="3"/>
      <c r="AY171" s="3">
        <v>1</v>
      </c>
      <c r="AZ171" s="3"/>
      <c r="BA171" s="3"/>
      <c r="BB171" s="3">
        <v>9</v>
      </c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>
        <v>9</v>
      </c>
      <c r="BN171" s="3"/>
      <c r="BO171" s="3"/>
      <c r="BP171" s="3"/>
      <c r="BQ171" s="3"/>
      <c r="BR171" s="3">
        <v>1</v>
      </c>
      <c r="BS171" s="3"/>
      <c r="BT171" s="19">
        <v>1</v>
      </c>
      <c r="BU171" s="3">
        <v>1</v>
      </c>
      <c r="BV171" s="19">
        <v>9</v>
      </c>
      <c r="BW171" s="19">
        <v>5</v>
      </c>
      <c r="BX171" s="19">
        <v>7</v>
      </c>
      <c r="BY171" s="3"/>
      <c r="BZ171" s="19">
        <v>7</v>
      </c>
      <c r="CA171" s="19">
        <v>1</v>
      </c>
      <c r="CB171" s="19">
        <v>4</v>
      </c>
      <c r="CC171" s="19">
        <v>1</v>
      </c>
      <c r="CD171" s="3">
        <v>3</v>
      </c>
      <c r="CE171" s="19">
        <v>9</v>
      </c>
      <c r="CF171" s="3">
        <v>1</v>
      </c>
      <c r="CG171" s="3"/>
      <c r="CH171" s="3">
        <v>5</v>
      </c>
      <c r="CI171" s="3">
        <v>5</v>
      </c>
      <c r="CJ171" s="3">
        <v>1</v>
      </c>
      <c r="CK171" s="3">
        <v>7</v>
      </c>
      <c r="CL171" s="3">
        <v>1</v>
      </c>
      <c r="CM171" s="3" t="s">
        <v>1185</v>
      </c>
      <c r="CN171" s="3" t="s">
        <v>1185</v>
      </c>
      <c r="CO171" s="3" t="s">
        <v>1185</v>
      </c>
      <c r="CP171" s="3" t="s">
        <v>1185</v>
      </c>
      <c r="CQ171" s="3" t="s">
        <v>1185</v>
      </c>
      <c r="CR171" s="3" t="s">
        <v>1185</v>
      </c>
      <c r="CS171" s="3" t="s">
        <v>1185</v>
      </c>
      <c r="CT171" s="3">
        <v>3</v>
      </c>
      <c r="CU171" s="3">
        <v>2</v>
      </c>
      <c r="CV171" s="3">
        <v>5</v>
      </c>
      <c r="CW171" s="3">
        <v>1</v>
      </c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19">
        <v>9</v>
      </c>
      <c r="DR171" s="3"/>
      <c r="EA171" s="3"/>
      <c r="EE171" s="3"/>
      <c r="EF171" s="3"/>
      <c r="EG171" s="3"/>
      <c r="EH171" s="3"/>
      <c r="EI171" s="3"/>
      <c r="EJ171" s="3"/>
      <c r="EK171" s="3"/>
      <c r="EL171" s="3"/>
    </row>
    <row r="172" spans="1:142" ht="15" customHeight="1" x14ac:dyDescent="0.25">
      <c r="A172" s="6" t="s">
        <v>311</v>
      </c>
      <c r="B172" s="2" t="s">
        <v>784</v>
      </c>
      <c r="C172" s="2" t="s">
        <v>1282</v>
      </c>
      <c r="D172" s="25" t="s">
        <v>1183</v>
      </c>
      <c r="E172" s="4" t="s">
        <v>1190</v>
      </c>
      <c r="F172" s="4" t="s">
        <v>1160</v>
      </c>
      <c r="G172" s="26">
        <v>1983</v>
      </c>
      <c r="H172" s="5"/>
      <c r="I172" s="5"/>
      <c r="J172" s="5"/>
      <c r="M172" s="5"/>
      <c r="N172" s="2" t="s">
        <v>1283</v>
      </c>
      <c r="O172" s="28" t="s">
        <v>2516</v>
      </c>
      <c r="P172" s="3"/>
      <c r="Q172" s="27">
        <v>2</v>
      </c>
      <c r="R172" s="3"/>
      <c r="S172" s="3">
        <v>1</v>
      </c>
      <c r="T172" s="3">
        <v>3</v>
      </c>
      <c r="U172" s="3">
        <v>9</v>
      </c>
      <c r="V172" s="3"/>
      <c r="W172" s="3"/>
      <c r="X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>
        <v>9</v>
      </c>
      <c r="BC172" s="3"/>
      <c r="BD172" s="3"/>
      <c r="BE172" s="3"/>
      <c r="BF172" s="3"/>
      <c r="BG172" s="3">
        <v>7</v>
      </c>
      <c r="BH172" s="3"/>
      <c r="BI172" s="3"/>
      <c r="BJ172" s="3"/>
      <c r="BK172" s="3"/>
      <c r="BL172" s="3"/>
      <c r="BM172" s="3">
        <v>8</v>
      </c>
      <c r="BN172" s="3">
        <v>4</v>
      </c>
      <c r="BO172" s="3"/>
      <c r="BP172" s="3"/>
      <c r="BQ172" s="3">
        <v>8</v>
      </c>
      <c r="BR172" s="3">
        <v>9</v>
      </c>
      <c r="BS172" s="3">
        <v>9</v>
      </c>
      <c r="BT172" s="19">
        <v>9</v>
      </c>
      <c r="BU172" s="3">
        <v>5</v>
      </c>
      <c r="BV172" s="19">
        <v>9</v>
      </c>
      <c r="BW172" s="19">
        <v>7</v>
      </c>
      <c r="BX172" s="19">
        <v>7</v>
      </c>
      <c r="BY172" s="19">
        <v>7</v>
      </c>
      <c r="BZ172" s="19">
        <v>7</v>
      </c>
      <c r="CA172" s="19">
        <v>9</v>
      </c>
      <c r="CB172" s="19">
        <v>9</v>
      </c>
      <c r="CC172" s="19">
        <v>9</v>
      </c>
      <c r="CD172" s="3">
        <v>9</v>
      </c>
      <c r="CE172" s="19">
        <v>9</v>
      </c>
      <c r="CF172" s="3">
        <v>9</v>
      </c>
      <c r="CG172" s="19">
        <v>9</v>
      </c>
      <c r="CH172" s="3">
        <v>8</v>
      </c>
      <c r="CI172" s="3">
        <v>9</v>
      </c>
      <c r="CJ172" s="3">
        <v>7</v>
      </c>
      <c r="CK172" s="3"/>
      <c r="CL172" s="3">
        <v>9</v>
      </c>
      <c r="CM172" s="3" t="s">
        <v>1185</v>
      </c>
      <c r="CN172" s="3" t="s">
        <v>1185</v>
      </c>
      <c r="CO172" s="3" t="s">
        <v>1185</v>
      </c>
      <c r="CP172" s="3"/>
      <c r="CQ172" s="3" t="s">
        <v>1185</v>
      </c>
      <c r="CR172" s="3" t="s">
        <v>1185</v>
      </c>
      <c r="CT172" s="3">
        <v>9</v>
      </c>
      <c r="CU172" s="3">
        <v>9</v>
      </c>
      <c r="CV172" s="3">
        <v>9</v>
      </c>
      <c r="CW172" s="3">
        <v>7</v>
      </c>
      <c r="CX172" s="3">
        <v>5</v>
      </c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R172" s="3"/>
    </row>
    <row r="173" spans="1:142" ht="15" customHeight="1" x14ac:dyDescent="0.25">
      <c r="A173" s="6" t="s">
        <v>312</v>
      </c>
      <c r="B173" s="2" t="s">
        <v>784</v>
      </c>
      <c r="C173" s="2" t="s">
        <v>1284</v>
      </c>
      <c r="D173" s="25" t="s">
        <v>1183</v>
      </c>
      <c r="E173" s="4" t="s">
        <v>1190</v>
      </c>
      <c r="F173" s="4" t="s">
        <v>801</v>
      </c>
      <c r="G173" s="26">
        <v>1984</v>
      </c>
      <c r="H173" s="5"/>
      <c r="I173" s="5"/>
      <c r="J173" s="5"/>
      <c r="M173" s="5"/>
      <c r="N173" s="2" t="s">
        <v>1285</v>
      </c>
      <c r="O173" s="28" t="s">
        <v>2517</v>
      </c>
      <c r="P173" s="3"/>
      <c r="Q173" s="27">
        <v>2</v>
      </c>
      <c r="R173" s="3"/>
      <c r="S173" s="3">
        <v>1</v>
      </c>
      <c r="T173" s="3">
        <v>3</v>
      </c>
      <c r="U173" s="3">
        <v>9</v>
      </c>
      <c r="V173" s="3"/>
      <c r="W173" s="3"/>
      <c r="X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>
        <v>9</v>
      </c>
      <c r="BC173" s="3"/>
      <c r="BD173" s="3"/>
      <c r="BE173" s="3"/>
      <c r="BF173" s="3"/>
      <c r="BG173" s="3">
        <v>9</v>
      </c>
      <c r="BH173" s="3"/>
      <c r="BI173" s="3"/>
      <c r="BJ173" s="3"/>
      <c r="BK173" s="3"/>
      <c r="BL173" s="3"/>
      <c r="BM173" s="3">
        <v>7</v>
      </c>
      <c r="BN173" s="3"/>
      <c r="BO173" s="3"/>
      <c r="BP173" s="3"/>
      <c r="BQ173" s="3">
        <v>8</v>
      </c>
      <c r="BR173" s="3">
        <v>5</v>
      </c>
      <c r="BS173" s="3">
        <v>9</v>
      </c>
      <c r="BT173" s="19">
        <v>9</v>
      </c>
      <c r="BU173" s="3">
        <v>7</v>
      </c>
      <c r="BV173" s="19">
        <v>9</v>
      </c>
      <c r="BW173" s="3"/>
      <c r="BX173" s="19">
        <v>9</v>
      </c>
      <c r="BY173" s="19">
        <v>7</v>
      </c>
      <c r="BZ173" s="19">
        <v>7</v>
      </c>
      <c r="CA173" s="19">
        <v>9</v>
      </c>
      <c r="CB173" s="19">
        <v>9</v>
      </c>
      <c r="CC173" s="19">
        <v>5</v>
      </c>
      <c r="CD173" s="3">
        <v>9</v>
      </c>
      <c r="CE173" s="19">
        <v>9</v>
      </c>
      <c r="CF173" s="3">
        <v>9</v>
      </c>
      <c r="CG173" s="19">
        <v>8</v>
      </c>
      <c r="CH173" s="3">
        <v>8</v>
      </c>
      <c r="CI173" s="3">
        <v>9</v>
      </c>
      <c r="CJ173" s="3">
        <v>8</v>
      </c>
      <c r="CK173" s="3">
        <v>3</v>
      </c>
      <c r="CL173" s="3"/>
      <c r="CM173" s="3" t="s">
        <v>1185</v>
      </c>
      <c r="CN173" s="3" t="s">
        <v>1185</v>
      </c>
      <c r="CO173" s="3" t="s">
        <v>1185</v>
      </c>
      <c r="CP173" s="3" t="s">
        <v>1185</v>
      </c>
      <c r="CQ173" s="3" t="s">
        <v>1185</v>
      </c>
      <c r="CR173" s="3" t="s">
        <v>1185</v>
      </c>
      <c r="CS173" s="3" t="s">
        <v>1185</v>
      </c>
      <c r="CT173" s="3">
        <v>9</v>
      </c>
      <c r="CU173" s="3">
        <v>9</v>
      </c>
      <c r="CV173" s="3">
        <v>9</v>
      </c>
      <c r="CW173" s="3">
        <v>9</v>
      </c>
      <c r="CX173" s="3">
        <v>3</v>
      </c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19">
        <v>9</v>
      </c>
      <c r="DR173" s="3"/>
      <c r="EE173" s="3"/>
      <c r="EF173" s="3"/>
      <c r="EG173" s="3"/>
      <c r="EH173" s="3"/>
      <c r="EI173" s="3"/>
      <c r="EJ173" s="3"/>
      <c r="EK173" s="3"/>
      <c r="EL173" s="3"/>
    </row>
    <row r="174" spans="1:142" ht="15" customHeight="1" x14ac:dyDescent="0.25">
      <c r="A174" s="6" t="s">
        <v>313</v>
      </c>
      <c r="B174" s="2" t="s">
        <v>784</v>
      </c>
      <c r="C174" s="2" t="s">
        <v>1286</v>
      </c>
      <c r="D174" s="25" t="s">
        <v>1183</v>
      </c>
      <c r="E174" s="4" t="s">
        <v>1190</v>
      </c>
      <c r="F174" s="4" t="s">
        <v>809</v>
      </c>
      <c r="G174" s="29"/>
      <c r="H174" s="5"/>
      <c r="I174" s="5"/>
      <c r="J174" s="5"/>
      <c r="M174" s="5"/>
      <c r="N174" s="2" t="s">
        <v>1287</v>
      </c>
      <c r="O174" s="28" t="s">
        <v>2518</v>
      </c>
      <c r="P174" s="3"/>
      <c r="Q174" s="27">
        <v>2</v>
      </c>
      <c r="R174" s="3"/>
      <c r="S174" s="3">
        <v>1</v>
      </c>
      <c r="T174" s="3">
        <v>3</v>
      </c>
      <c r="U174" s="3">
        <v>9</v>
      </c>
      <c r="V174" s="3"/>
      <c r="W174" s="3"/>
      <c r="X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>
        <v>9</v>
      </c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>
        <v>1</v>
      </c>
      <c r="BR174" s="3"/>
      <c r="BS174" s="3">
        <v>9</v>
      </c>
      <c r="BT174" s="3"/>
      <c r="BU174" s="3"/>
      <c r="BV174" s="3"/>
      <c r="BW174" s="3"/>
      <c r="BX174" s="3"/>
      <c r="BY174" s="3"/>
      <c r="BZ174" s="3">
        <v>9</v>
      </c>
      <c r="CA174" s="3"/>
      <c r="CB174" s="3"/>
      <c r="CC174" s="3">
        <v>9</v>
      </c>
      <c r="CD174" s="3">
        <v>9</v>
      </c>
      <c r="CE174" s="3"/>
      <c r="CF174" s="3"/>
      <c r="CG174" s="3"/>
      <c r="CH174" s="3"/>
      <c r="CI174" s="3"/>
      <c r="CJ174" s="3"/>
      <c r="CK174" s="3"/>
      <c r="CL174" s="3"/>
      <c r="CM174" s="3" t="s">
        <v>1185</v>
      </c>
      <c r="CN174" s="3" t="s">
        <v>1185</v>
      </c>
      <c r="CO174" s="3" t="s">
        <v>1185</v>
      </c>
      <c r="CP174" s="3"/>
      <c r="CQ174" s="3" t="s">
        <v>1185</v>
      </c>
      <c r="CR174" s="3" t="s">
        <v>1185</v>
      </c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19">
        <v>1</v>
      </c>
      <c r="DR174" s="3"/>
    </row>
    <row r="175" spans="1:142" ht="15" customHeight="1" x14ac:dyDescent="0.25">
      <c r="A175" s="6" t="s">
        <v>314</v>
      </c>
      <c r="B175" s="2" t="s">
        <v>784</v>
      </c>
      <c r="C175" s="2" t="s">
        <v>1288</v>
      </c>
      <c r="D175" s="25" t="s">
        <v>1183</v>
      </c>
      <c r="E175" s="4" t="s">
        <v>1190</v>
      </c>
      <c r="F175" s="4" t="s">
        <v>919</v>
      </c>
      <c r="G175" s="26">
        <v>1975</v>
      </c>
      <c r="H175" s="5"/>
      <c r="I175" s="5"/>
      <c r="J175" s="5"/>
      <c r="M175" s="5"/>
      <c r="N175" s="2" t="s">
        <v>1289</v>
      </c>
      <c r="O175" s="28" t="s">
        <v>2519</v>
      </c>
      <c r="P175" s="3"/>
      <c r="Q175" s="27">
        <v>2</v>
      </c>
      <c r="R175" s="3"/>
      <c r="S175" s="3">
        <v>1</v>
      </c>
      <c r="T175" s="3">
        <v>3</v>
      </c>
      <c r="U175" s="3">
        <v>9</v>
      </c>
      <c r="V175" s="3"/>
      <c r="W175" s="3"/>
      <c r="X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>
        <v>9</v>
      </c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>
        <v>9</v>
      </c>
      <c r="BN175" s="3"/>
      <c r="BO175" s="3"/>
      <c r="BP175" s="3"/>
      <c r="BQ175" s="3">
        <v>1</v>
      </c>
      <c r="BR175" s="3">
        <v>1</v>
      </c>
      <c r="BS175" s="3">
        <v>1</v>
      </c>
      <c r="BT175" s="3">
        <v>1</v>
      </c>
      <c r="BU175" s="3">
        <v>1</v>
      </c>
      <c r="BV175" s="3">
        <v>1</v>
      </c>
      <c r="BW175" s="3">
        <v>1</v>
      </c>
      <c r="BX175" s="3">
        <v>1</v>
      </c>
      <c r="BY175" s="3">
        <v>1</v>
      </c>
      <c r="BZ175" s="3">
        <v>1</v>
      </c>
      <c r="CA175" s="3">
        <v>1</v>
      </c>
      <c r="CB175" s="3">
        <v>1</v>
      </c>
      <c r="CC175" s="3">
        <v>1</v>
      </c>
      <c r="CD175" s="3">
        <v>1</v>
      </c>
      <c r="CE175" s="19">
        <v>1</v>
      </c>
      <c r="CF175" s="19">
        <v>1</v>
      </c>
      <c r="CG175" s="3"/>
      <c r="CH175" s="3">
        <v>1</v>
      </c>
      <c r="CI175" s="3">
        <v>1</v>
      </c>
      <c r="CJ175" s="19">
        <v>1</v>
      </c>
      <c r="CK175" s="19">
        <v>3</v>
      </c>
      <c r="CL175" s="3"/>
      <c r="CM175" s="19">
        <v>1</v>
      </c>
      <c r="CN175" s="3" t="s">
        <v>1185</v>
      </c>
      <c r="CO175" s="3" t="s">
        <v>1185</v>
      </c>
      <c r="CP175" s="3" t="s">
        <v>1185</v>
      </c>
      <c r="CR175" s="3" t="s">
        <v>1185</v>
      </c>
      <c r="CS175" s="3" t="s">
        <v>1185</v>
      </c>
      <c r="CT175" s="3"/>
      <c r="CU175" s="3"/>
      <c r="CV175" s="3"/>
      <c r="CW175" s="3"/>
      <c r="CX175" s="3"/>
      <c r="CY175" s="3"/>
      <c r="CZ175" s="3">
        <v>9</v>
      </c>
      <c r="DA175" s="3">
        <v>9</v>
      </c>
      <c r="DB175" s="3">
        <v>1</v>
      </c>
      <c r="DC175" s="3">
        <v>9</v>
      </c>
      <c r="DD175" s="3">
        <v>9</v>
      </c>
      <c r="DE175" s="3">
        <v>1</v>
      </c>
      <c r="DF175" s="3">
        <v>5</v>
      </c>
      <c r="DG175" s="3">
        <v>9</v>
      </c>
      <c r="DH175" s="3">
        <v>9</v>
      </c>
      <c r="DI175" s="3">
        <v>1</v>
      </c>
      <c r="DJ175" s="3">
        <v>9</v>
      </c>
      <c r="DK175" s="3">
        <v>1</v>
      </c>
      <c r="DL175" s="3"/>
      <c r="DM175" s="3"/>
      <c r="DN175" s="3"/>
      <c r="DO175" s="3"/>
      <c r="DP175" s="3"/>
      <c r="DQ175" s="19">
        <v>9</v>
      </c>
      <c r="DR175" s="3"/>
      <c r="DU175" s="3"/>
      <c r="DV175" s="3"/>
      <c r="DW175" s="3"/>
      <c r="DY175" s="3"/>
      <c r="DZ175" s="3"/>
      <c r="EA175" s="3"/>
    </row>
    <row r="176" spans="1:142" ht="15" customHeight="1" x14ac:dyDescent="0.25">
      <c r="A176" s="6" t="s">
        <v>315</v>
      </c>
      <c r="B176" s="2" t="s">
        <v>784</v>
      </c>
      <c r="C176" s="2" t="s">
        <v>1290</v>
      </c>
      <c r="D176" s="25" t="s">
        <v>1183</v>
      </c>
      <c r="E176" s="4" t="s">
        <v>1190</v>
      </c>
      <c r="F176" s="4" t="s">
        <v>793</v>
      </c>
      <c r="G176" s="26">
        <v>1978</v>
      </c>
      <c r="H176" s="5"/>
      <c r="I176" s="5"/>
      <c r="J176" s="5"/>
      <c r="M176" s="5"/>
      <c r="N176" s="2" t="s">
        <v>1291</v>
      </c>
      <c r="O176" s="28" t="s">
        <v>2520</v>
      </c>
      <c r="P176" s="3"/>
      <c r="Q176" s="27">
        <v>2</v>
      </c>
      <c r="R176" s="3"/>
      <c r="S176" s="3">
        <v>1</v>
      </c>
      <c r="T176" s="3">
        <v>3</v>
      </c>
      <c r="U176" s="3">
        <v>9</v>
      </c>
      <c r="V176" s="3"/>
      <c r="W176" s="3"/>
      <c r="X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>
        <v>1</v>
      </c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>
        <v>9</v>
      </c>
      <c r="BN176" s="3">
        <v>3</v>
      </c>
      <c r="BO176" s="3"/>
      <c r="BP176" s="3"/>
      <c r="BQ176" s="3">
        <v>9</v>
      </c>
      <c r="BR176" s="3">
        <v>5</v>
      </c>
      <c r="BS176" s="3">
        <v>1</v>
      </c>
      <c r="BT176" s="19">
        <v>7</v>
      </c>
      <c r="BU176" s="3">
        <v>1</v>
      </c>
      <c r="BV176" s="19">
        <v>7</v>
      </c>
      <c r="BW176" s="19">
        <v>9</v>
      </c>
      <c r="BX176" s="19">
        <v>5</v>
      </c>
      <c r="BY176" s="3"/>
      <c r="BZ176" s="3">
        <v>5</v>
      </c>
      <c r="CA176" s="19">
        <v>1</v>
      </c>
      <c r="CB176" s="19">
        <v>9</v>
      </c>
      <c r="CC176" s="3">
        <v>8</v>
      </c>
      <c r="CD176" s="3">
        <v>8</v>
      </c>
      <c r="CE176" s="19">
        <v>8</v>
      </c>
      <c r="CF176" s="19">
        <v>9</v>
      </c>
      <c r="CG176" s="3"/>
      <c r="CH176" s="3">
        <v>9</v>
      </c>
      <c r="CI176" s="3">
        <v>7</v>
      </c>
      <c r="CJ176" s="19">
        <v>8</v>
      </c>
      <c r="CK176" s="19">
        <v>7</v>
      </c>
      <c r="CL176" s="19">
        <v>9</v>
      </c>
      <c r="CM176" s="19">
        <v>8</v>
      </c>
      <c r="CN176" s="3" t="s">
        <v>1185</v>
      </c>
      <c r="CO176" s="3" t="s">
        <v>1185</v>
      </c>
      <c r="CP176" s="3" t="s">
        <v>1185</v>
      </c>
      <c r="CR176" s="3" t="s">
        <v>1185</v>
      </c>
      <c r="CS176" s="3" t="s">
        <v>1185</v>
      </c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R176" s="3"/>
      <c r="EE176" s="3"/>
      <c r="EF176" s="3"/>
      <c r="EG176" s="3"/>
      <c r="EH176" s="3"/>
      <c r="EI176" s="3"/>
      <c r="EJ176" s="3"/>
      <c r="EK176" s="3"/>
      <c r="EL176" s="3"/>
    </row>
    <row r="177" spans="1:142" ht="15" customHeight="1" x14ac:dyDescent="0.25">
      <c r="A177" s="6" t="s">
        <v>316</v>
      </c>
      <c r="B177" s="2" t="s">
        <v>784</v>
      </c>
      <c r="C177" s="2" t="s">
        <v>1292</v>
      </c>
      <c r="D177" s="25" t="s">
        <v>1183</v>
      </c>
      <c r="E177" s="4" t="s">
        <v>1190</v>
      </c>
      <c r="F177" s="4" t="s">
        <v>947</v>
      </c>
      <c r="G177" s="26">
        <v>1986</v>
      </c>
      <c r="H177" s="5"/>
      <c r="I177" s="5"/>
      <c r="J177" s="5"/>
      <c r="M177" s="5"/>
      <c r="N177" s="2" t="s">
        <v>1293</v>
      </c>
      <c r="O177" s="28" t="s">
        <v>2521</v>
      </c>
      <c r="P177" s="3"/>
      <c r="Q177" s="27">
        <v>2</v>
      </c>
      <c r="R177" s="3"/>
      <c r="S177" s="3">
        <v>1</v>
      </c>
      <c r="T177" s="3">
        <v>3</v>
      </c>
      <c r="U177" s="3">
        <v>9</v>
      </c>
      <c r="V177" s="3"/>
      <c r="W177" s="3"/>
      <c r="X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>
        <v>9</v>
      </c>
      <c r="BN177" s="3">
        <v>4</v>
      </c>
      <c r="BO177" s="3"/>
      <c r="BP177" s="3"/>
      <c r="BQ177" s="3">
        <v>8</v>
      </c>
      <c r="BR177" s="3">
        <v>7</v>
      </c>
      <c r="BS177" s="3">
        <v>9</v>
      </c>
      <c r="BT177" s="19">
        <v>8</v>
      </c>
      <c r="BU177" s="3">
        <v>9</v>
      </c>
      <c r="BV177" s="19">
        <v>9</v>
      </c>
      <c r="BW177" s="19">
        <v>9</v>
      </c>
      <c r="BX177" s="19">
        <v>6</v>
      </c>
      <c r="BY177" s="3"/>
      <c r="BZ177" s="19">
        <v>9</v>
      </c>
      <c r="CA177" s="19">
        <v>8</v>
      </c>
      <c r="CB177" s="19">
        <v>8</v>
      </c>
      <c r="CC177" s="19">
        <v>7</v>
      </c>
      <c r="CD177" s="3">
        <v>9</v>
      </c>
      <c r="CE177" s="19">
        <v>5</v>
      </c>
      <c r="CF177" s="19">
        <v>9</v>
      </c>
      <c r="CG177" s="3"/>
      <c r="CH177" s="3">
        <v>9</v>
      </c>
      <c r="CI177" s="3">
        <v>8</v>
      </c>
      <c r="CJ177" s="19">
        <v>9</v>
      </c>
      <c r="CK177" s="19">
        <v>9</v>
      </c>
      <c r="CL177" s="19">
        <v>9</v>
      </c>
      <c r="CM177" s="19">
        <v>8</v>
      </c>
      <c r="CN177" s="3" t="s">
        <v>1185</v>
      </c>
      <c r="CO177" s="3" t="s">
        <v>1185</v>
      </c>
      <c r="CP177" s="3" t="s">
        <v>1185</v>
      </c>
      <c r="CQ177" s="3" t="s">
        <v>1185</v>
      </c>
      <c r="CR177" s="3" t="s">
        <v>1185</v>
      </c>
      <c r="CS177" s="3" t="s">
        <v>1185</v>
      </c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19">
        <v>9</v>
      </c>
      <c r="DR177" s="3"/>
      <c r="EE177" s="3"/>
      <c r="EF177" s="3"/>
      <c r="EG177" s="3"/>
      <c r="EH177" s="3"/>
      <c r="EI177" s="3"/>
      <c r="EJ177" s="3"/>
      <c r="EK177" s="3"/>
      <c r="EL177" s="3"/>
    </row>
    <row r="178" spans="1:142" ht="15" customHeight="1" x14ac:dyDescent="0.25">
      <c r="A178" s="6" t="s">
        <v>317</v>
      </c>
      <c r="B178" s="2" t="s">
        <v>784</v>
      </c>
      <c r="C178" s="2" t="s">
        <v>1294</v>
      </c>
      <c r="D178" s="25" t="s">
        <v>1183</v>
      </c>
      <c r="E178" s="4" t="s">
        <v>1190</v>
      </c>
      <c r="F178" s="4" t="s">
        <v>947</v>
      </c>
      <c r="G178" s="26">
        <v>1986</v>
      </c>
      <c r="H178" s="5"/>
      <c r="J178" s="5"/>
      <c r="M178" s="5"/>
      <c r="N178" s="2" t="s">
        <v>1295</v>
      </c>
      <c r="O178" s="28" t="s">
        <v>2522</v>
      </c>
      <c r="P178" s="3"/>
      <c r="Q178" s="27">
        <v>2</v>
      </c>
      <c r="R178" s="3"/>
      <c r="S178" s="3">
        <v>1</v>
      </c>
      <c r="T178" s="3">
        <v>3</v>
      </c>
      <c r="U178" s="3">
        <v>9</v>
      </c>
      <c r="V178" s="3"/>
      <c r="W178" s="3"/>
      <c r="X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>
        <v>9</v>
      </c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>
        <v>9</v>
      </c>
      <c r="BN178" s="3"/>
      <c r="BO178" s="3"/>
      <c r="BP178" s="3"/>
      <c r="BQ178" s="3">
        <v>8</v>
      </c>
      <c r="BR178" s="3">
        <v>7</v>
      </c>
      <c r="BS178" s="3">
        <v>9</v>
      </c>
      <c r="BT178" s="19">
        <v>7</v>
      </c>
      <c r="BU178" s="3">
        <v>9</v>
      </c>
      <c r="BV178" s="19">
        <v>7</v>
      </c>
      <c r="BW178" s="19">
        <v>9</v>
      </c>
      <c r="BX178" s="19">
        <v>6</v>
      </c>
      <c r="BY178" s="3"/>
      <c r="BZ178" s="19">
        <v>9</v>
      </c>
      <c r="CA178" s="19">
        <v>9</v>
      </c>
      <c r="CB178" s="19">
        <v>8</v>
      </c>
      <c r="CC178" s="19">
        <v>7</v>
      </c>
      <c r="CD178" s="3">
        <v>9</v>
      </c>
      <c r="CE178" s="19">
        <v>7</v>
      </c>
      <c r="CF178" s="19">
        <v>9</v>
      </c>
      <c r="CG178" s="3"/>
      <c r="CH178" s="3">
        <v>9</v>
      </c>
      <c r="CI178" s="3">
        <v>9</v>
      </c>
      <c r="CJ178" s="19">
        <v>9</v>
      </c>
      <c r="CK178" s="19">
        <v>9</v>
      </c>
      <c r="CL178" s="19">
        <v>9</v>
      </c>
      <c r="CM178" s="19">
        <v>9</v>
      </c>
      <c r="CN178" s="3" t="s">
        <v>1185</v>
      </c>
      <c r="CO178" s="3" t="s">
        <v>1185</v>
      </c>
      <c r="CP178" s="3" t="s">
        <v>1185</v>
      </c>
      <c r="CQ178" s="3" t="s">
        <v>1185</v>
      </c>
      <c r="CR178" s="3" t="s">
        <v>1185</v>
      </c>
      <c r="CS178" s="3" t="s">
        <v>1185</v>
      </c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19">
        <v>9</v>
      </c>
      <c r="DR178" s="3"/>
    </row>
    <row r="179" spans="1:142" ht="15" customHeight="1" x14ac:dyDescent="0.25">
      <c r="A179" s="6" t="s">
        <v>318</v>
      </c>
      <c r="B179" s="2" t="s">
        <v>784</v>
      </c>
      <c r="C179" s="2" t="s">
        <v>1296</v>
      </c>
      <c r="D179" s="25" t="s">
        <v>1183</v>
      </c>
      <c r="E179" s="4" t="s">
        <v>1190</v>
      </c>
      <c r="F179" s="4" t="s">
        <v>1100</v>
      </c>
      <c r="G179" s="26">
        <v>1983</v>
      </c>
      <c r="H179" s="5"/>
      <c r="J179" s="5"/>
      <c r="M179" s="5"/>
      <c r="N179" s="2" t="s">
        <v>1297</v>
      </c>
      <c r="O179" s="28" t="s">
        <v>2523</v>
      </c>
      <c r="P179" s="3"/>
      <c r="Q179" s="27">
        <v>2</v>
      </c>
      <c r="R179" s="3"/>
      <c r="S179" s="3">
        <v>1</v>
      </c>
      <c r="T179" s="3">
        <v>3</v>
      </c>
      <c r="U179" s="3">
        <v>9</v>
      </c>
      <c r="V179" s="3"/>
      <c r="W179" s="3">
        <v>6</v>
      </c>
      <c r="X179" s="3"/>
      <c r="Z179" s="3"/>
      <c r="AA179" s="3"/>
      <c r="AB179" s="3">
        <v>8</v>
      </c>
      <c r="AC179" s="3">
        <v>6</v>
      </c>
      <c r="AD179" s="3"/>
      <c r="AE179" s="3"/>
      <c r="AF179" s="3">
        <v>1</v>
      </c>
      <c r="AG179" s="3"/>
      <c r="AH179" s="3"/>
      <c r="AI179" s="3"/>
      <c r="AJ179" s="3">
        <v>3</v>
      </c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>
        <v>2</v>
      </c>
      <c r="AY179" s="3"/>
      <c r="AZ179" s="3">
        <v>1</v>
      </c>
      <c r="BA179" s="3">
        <v>1</v>
      </c>
      <c r="BB179" s="3">
        <v>9</v>
      </c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>
        <v>4</v>
      </c>
      <c r="BO179" s="3"/>
      <c r="BP179" s="3"/>
      <c r="BQ179" s="3">
        <v>9</v>
      </c>
      <c r="BR179" s="3"/>
      <c r="BS179" s="3">
        <v>9</v>
      </c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 t="s">
        <v>1185</v>
      </c>
      <c r="CN179" s="3" t="s">
        <v>1185</v>
      </c>
      <c r="CO179" s="3" t="s">
        <v>1185</v>
      </c>
      <c r="CP179" s="3"/>
      <c r="CQ179" s="3" t="s">
        <v>1185</v>
      </c>
      <c r="CR179" s="3" t="s">
        <v>1185</v>
      </c>
      <c r="CS179" s="3" t="s">
        <v>1185</v>
      </c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19">
        <v>9</v>
      </c>
      <c r="DR179" s="3"/>
    </row>
    <row r="180" spans="1:142" ht="15" customHeight="1" x14ac:dyDescent="0.25">
      <c r="A180" s="6" t="s">
        <v>319</v>
      </c>
      <c r="B180" s="2" t="s">
        <v>784</v>
      </c>
      <c r="C180" s="2" t="s">
        <v>1298</v>
      </c>
      <c r="D180" s="25" t="s">
        <v>1183</v>
      </c>
      <c r="E180" s="4" t="s">
        <v>1190</v>
      </c>
      <c r="F180" s="4" t="s">
        <v>1057</v>
      </c>
      <c r="G180" s="26">
        <v>1987</v>
      </c>
      <c r="H180" s="5"/>
      <c r="J180" s="5"/>
      <c r="M180" s="5"/>
      <c r="N180" s="2" t="s">
        <v>1299</v>
      </c>
      <c r="O180" s="28" t="s">
        <v>2524</v>
      </c>
      <c r="P180" s="3"/>
      <c r="Q180" s="27">
        <v>2</v>
      </c>
      <c r="R180" s="3"/>
      <c r="S180" s="3">
        <v>1</v>
      </c>
      <c r="T180" s="3">
        <v>3</v>
      </c>
      <c r="U180" s="3">
        <v>9</v>
      </c>
      <c r="V180" s="3"/>
      <c r="W180" s="3"/>
      <c r="X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>
        <v>9</v>
      </c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>
        <v>4</v>
      </c>
      <c r="BO180" s="3"/>
      <c r="BP180" s="3"/>
      <c r="BQ180" s="3">
        <v>9</v>
      </c>
      <c r="BR180" s="3"/>
      <c r="BS180" s="3">
        <v>9</v>
      </c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 t="s">
        <v>1185</v>
      </c>
      <c r="CN180" s="3" t="s">
        <v>1185</v>
      </c>
      <c r="CO180" s="3" t="s">
        <v>1185</v>
      </c>
      <c r="CP180" s="3"/>
      <c r="CQ180" s="3" t="s">
        <v>1185</v>
      </c>
      <c r="CR180" s="3" t="s">
        <v>1185</v>
      </c>
      <c r="CS180" s="3" t="s">
        <v>1185</v>
      </c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R180" s="3"/>
    </row>
    <row r="181" spans="1:142" ht="15" customHeight="1" x14ac:dyDescent="0.25">
      <c r="A181" s="6" t="s">
        <v>320</v>
      </c>
      <c r="B181" s="2" t="s">
        <v>784</v>
      </c>
      <c r="C181" s="2" t="s">
        <v>1300</v>
      </c>
      <c r="D181" s="25" t="s">
        <v>1183</v>
      </c>
      <c r="E181" s="4" t="s">
        <v>1190</v>
      </c>
      <c r="F181" s="4" t="s">
        <v>1057</v>
      </c>
      <c r="G181" s="26">
        <v>1987</v>
      </c>
      <c r="H181" s="5"/>
      <c r="J181" s="5"/>
      <c r="M181" s="5"/>
      <c r="N181" s="2" t="s">
        <v>1301</v>
      </c>
      <c r="O181" s="28" t="s">
        <v>2525</v>
      </c>
      <c r="P181" s="3"/>
      <c r="Q181" s="27">
        <v>2</v>
      </c>
      <c r="R181" s="3"/>
      <c r="S181" s="3">
        <v>1</v>
      </c>
      <c r="T181" s="3">
        <v>3</v>
      </c>
      <c r="U181" s="3">
        <v>9</v>
      </c>
      <c r="V181" s="3"/>
      <c r="W181" s="3"/>
      <c r="X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>
        <v>9</v>
      </c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>
        <v>9</v>
      </c>
      <c r="BN181" s="3">
        <v>2</v>
      </c>
      <c r="BO181" s="3"/>
      <c r="BP181" s="3"/>
      <c r="BQ181" s="3">
        <v>9</v>
      </c>
      <c r="BR181" s="3">
        <v>9</v>
      </c>
      <c r="BS181" s="3">
        <v>9</v>
      </c>
      <c r="BT181" s="19">
        <v>7</v>
      </c>
      <c r="BU181" s="3">
        <v>9</v>
      </c>
      <c r="BV181" s="19">
        <v>9</v>
      </c>
      <c r="BW181" s="19">
        <v>9</v>
      </c>
      <c r="BX181" s="3"/>
      <c r="BY181" s="3"/>
      <c r="BZ181" s="19">
        <v>9</v>
      </c>
      <c r="CA181" s="19">
        <v>7</v>
      </c>
      <c r="CB181" s="19">
        <v>9</v>
      </c>
      <c r="CC181" s="19">
        <v>9</v>
      </c>
      <c r="CD181" s="3">
        <v>9</v>
      </c>
      <c r="CE181" s="19">
        <v>9</v>
      </c>
      <c r="CF181" s="19">
        <v>9</v>
      </c>
      <c r="CG181" s="3"/>
      <c r="CH181" s="3">
        <v>9</v>
      </c>
      <c r="CI181" s="3">
        <v>7</v>
      </c>
      <c r="CJ181" s="19">
        <v>9</v>
      </c>
      <c r="CK181" s="19">
        <v>9</v>
      </c>
      <c r="CL181" s="19">
        <v>8</v>
      </c>
      <c r="CM181" s="19">
        <v>9</v>
      </c>
      <c r="CN181" s="3" t="s">
        <v>1185</v>
      </c>
      <c r="CO181" s="3" t="s">
        <v>1185</v>
      </c>
      <c r="CP181" s="3"/>
      <c r="CQ181" s="3" t="s">
        <v>1185</v>
      </c>
      <c r="CR181" s="3" t="s">
        <v>1185</v>
      </c>
      <c r="CS181" s="3" t="s">
        <v>1185</v>
      </c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R181" s="3"/>
    </row>
    <row r="182" spans="1:142" ht="15" customHeight="1" x14ac:dyDescent="0.25">
      <c r="A182" s="6" t="s">
        <v>321</v>
      </c>
      <c r="B182" s="2" t="s">
        <v>784</v>
      </c>
      <c r="C182" s="2" t="s">
        <v>1302</v>
      </c>
      <c r="D182" s="25" t="s">
        <v>1183</v>
      </c>
      <c r="E182" s="4" t="s">
        <v>1190</v>
      </c>
      <c r="F182" s="4" t="s">
        <v>1057</v>
      </c>
      <c r="G182" s="26">
        <v>1987</v>
      </c>
      <c r="H182" s="5"/>
      <c r="J182" s="5"/>
      <c r="M182" s="5"/>
      <c r="N182" s="2" t="s">
        <v>1303</v>
      </c>
      <c r="O182" s="28" t="s">
        <v>2526</v>
      </c>
      <c r="P182" s="3"/>
      <c r="Q182" s="27">
        <v>2</v>
      </c>
      <c r="R182" s="3"/>
      <c r="S182" s="3">
        <v>1</v>
      </c>
      <c r="T182" s="3">
        <v>3</v>
      </c>
      <c r="U182" s="3">
        <v>9</v>
      </c>
      <c r="V182" s="3"/>
      <c r="W182" s="3"/>
      <c r="X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>
        <v>9</v>
      </c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>
        <v>9</v>
      </c>
      <c r="BN182" s="3"/>
      <c r="BO182" s="3"/>
      <c r="BP182" s="3"/>
      <c r="BQ182" s="3">
        <v>9</v>
      </c>
      <c r="BR182" s="3">
        <v>9</v>
      </c>
      <c r="BS182" s="3">
        <v>8</v>
      </c>
      <c r="BT182" s="19">
        <v>9</v>
      </c>
      <c r="BU182" s="3">
        <v>5</v>
      </c>
      <c r="BV182" s="19">
        <v>8</v>
      </c>
      <c r="BW182" s="19">
        <v>9</v>
      </c>
      <c r="BX182" s="19">
        <v>9</v>
      </c>
      <c r="BY182" s="3"/>
      <c r="BZ182" s="19">
        <v>9</v>
      </c>
      <c r="CA182" s="19">
        <v>8</v>
      </c>
      <c r="CB182" s="19">
        <v>9</v>
      </c>
      <c r="CC182" s="19">
        <v>8</v>
      </c>
      <c r="CD182" s="3">
        <v>9</v>
      </c>
      <c r="CE182" s="19">
        <v>9</v>
      </c>
      <c r="CF182" s="3">
        <v>9</v>
      </c>
      <c r="CG182" s="3"/>
      <c r="CH182" s="3">
        <v>9</v>
      </c>
      <c r="CI182" s="3">
        <v>9</v>
      </c>
      <c r="CJ182" s="3">
        <v>9</v>
      </c>
      <c r="CK182" s="3">
        <v>9</v>
      </c>
      <c r="CL182" s="3">
        <v>9</v>
      </c>
      <c r="CM182" s="3" t="s">
        <v>1185</v>
      </c>
      <c r="CN182" s="3" t="s">
        <v>1185</v>
      </c>
      <c r="CO182" s="3" t="s">
        <v>1185</v>
      </c>
      <c r="CP182" s="3"/>
      <c r="CQ182" s="3" t="s">
        <v>1185</v>
      </c>
      <c r="CR182" s="3" t="s">
        <v>1185</v>
      </c>
      <c r="CS182" s="3" t="s">
        <v>1185</v>
      </c>
      <c r="CT182" s="3">
        <v>7</v>
      </c>
      <c r="CU182" s="3">
        <v>7</v>
      </c>
      <c r="CV182" s="3">
        <v>7</v>
      </c>
      <c r="CW182" s="3">
        <v>9</v>
      </c>
      <c r="CX182" s="3">
        <v>9</v>
      </c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R182" s="3"/>
    </row>
    <row r="183" spans="1:142" ht="15" customHeight="1" x14ac:dyDescent="0.25">
      <c r="A183" s="6" t="s">
        <v>322</v>
      </c>
      <c r="B183" s="2" t="s">
        <v>784</v>
      </c>
      <c r="C183" s="2" t="s">
        <v>1304</v>
      </c>
      <c r="D183" s="25" t="s">
        <v>1183</v>
      </c>
      <c r="E183" s="4" t="s">
        <v>1190</v>
      </c>
      <c r="F183" s="4" t="s">
        <v>1086</v>
      </c>
      <c r="G183" s="26">
        <v>1987</v>
      </c>
      <c r="H183" s="5"/>
      <c r="J183" s="5"/>
      <c r="M183" s="5"/>
      <c r="N183" s="2" t="s">
        <v>1305</v>
      </c>
      <c r="O183" s="28" t="s">
        <v>2527</v>
      </c>
      <c r="P183" s="3"/>
      <c r="Q183" s="27">
        <v>2</v>
      </c>
      <c r="R183" s="3"/>
      <c r="S183" s="3">
        <v>1</v>
      </c>
      <c r="T183" s="3">
        <v>3</v>
      </c>
      <c r="U183" s="3">
        <v>9</v>
      </c>
      <c r="V183" s="3"/>
      <c r="W183" s="3">
        <v>4</v>
      </c>
      <c r="X183" s="3"/>
      <c r="Z183" s="3"/>
      <c r="AA183" s="3"/>
      <c r="AB183" s="3">
        <v>3</v>
      </c>
      <c r="AC183" s="3">
        <v>5</v>
      </c>
      <c r="AD183" s="3"/>
      <c r="AE183" s="3"/>
      <c r="AF183" s="3">
        <v>3</v>
      </c>
      <c r="AG183" s="3">
        <v>1</v>
      </c>
      <c r="AH183" s="3">
        <v>1</v>
      </c>
      <c r="AI183" s="3">
        <v>9</v>
      </c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>
        <v>1</v>
      </c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>
        <v>9</v>
      </c>
      <c r="BN183" s="3">
        <v>4</v>
      </c>
      <c r="BO183" s="3"/>
      <c r="BP183" s="3"/>
      <c r="BQ183" s="3">
        <v>6</v>
      </c>
      <c r="BR183" s="3">
        <v>2</v>
      </c>
      <c r="BS183" s="3">
        <v>5</v>
      </c>
      <c r="BT183" s="3">
        <v>2</v>
      </c>
      <c r="BU183" s="3">
        <v>2</v>
      </c>
      <c r="BV183" s="3">
        <v>3</v>
      </c>
      <c r="BW183" s="3">
        <v>3</v>
      </c>
      <c r="BX183" s="3"/>
      <c r="BY183" s="3">
        <v>3</v>
      </c>
      <c r="BZ183" s="3">
        <v>2</v>
      </c>
      <c r="CA183" s="3">
        <v>2</v>
      </c>
      <c r="CB183" s="3">
        <v>3</v>
      </c>
      <c r="CC183" s="3">
        <v>3</v>
      </c>
      <c r="CD183" s="3">
        <v>3</v>
      </c>
      <c r="CE183" s="19">
        <v>5</v>
      </c>
      <c r="CF183" s="3">
        <v>5</v>
      </c>
      <c r="CG183" s="19">
        <v>4</v>
      </c>
      <c r="CH183" s="3">
        <v>3</v>
      </c>
      <c r="CI183" s="3">
        <v>5</v>
      </c>
      <c r="CJ183" s="3">
        <v>4</v>
      </c>
      <c r="CK183" s="3"/>
      <c r="CL183" s="3">
        <v>4</v>
      </c>
      <c r="CM183" s="3" t="s">
        <v>1185</v>
      </c>
      <c r="CN183" s="3" t="s">
        <v>1185</v>
      </c>
      <c r="CO183" s="3" t="s">
        <v>1185</v>
      </c>
      <c r="CP183" s="3" t="s">
        <v>1185</v>
      </c>
      <c r="CQ183" s="3" t="s">
        <v>1185</v>
      </c>
      <c r="CR183" s="3" t="s">
        <v>1185</v>
      </c>
      <c r="CS183" s="3" t="s">
        <v>1185</v>
      </c>
      <c r="CT183" s="3">
        <v>5</v>
      </c>
      <c r="CU183" s="3">
        <v>4</v>
      </c>
      <c r="CV183" s="3">
        <v>5</v>
      </c>
      <c r="CW183" s="3">
        <v>5</v>
      </c>
      <c r="CX183" s="3">
        <v>3</v>
      </c>
      <c r="CY183" s="3"/>
      <c r="CZ183" s="3">
        <v>7</v>
      </c>
      <c r="DA183" s="3">
        <v>3</v>
      </c>
      <c r="DB183" s="3">
        <v>1</v>
      </c>
      <c r="DC183" s="3">
        <v>7</v>
      </c>
      <c r="DD183" s="3">
        <v>7</v>
      </c>
      <c r="DE183" s="3">
        <v>1</v>
      </c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19">
        <v>9</v>
      </c>
      <c r="DR183" s="3"/>
    </row>
    <row r="184" spans="1:142" ht="15" customHeight="1" x14ac:dyDescent="0.25">
      <c r="A184" s="6" t="s">
        <v>323</v>
      </c>
      <c r="B184" s="2" t="s">
        <v>784</v>
      </c>
      <c r="C184" s="2" t="s">
        <v>1306</v>
      </c>
      <c r="D184" s="25" t="s">
        <v>1183</v>
      </c>
      <c r="E184" s="4" t="s">
        <v>1190</v>
      </c>
      <c r="F184" s="4" t="s">
        <v>1086</v>
      </c>
      <c r="G184" s="26">
        <v>1987</v>
      </c>
      <c r="H184" s="5"/>
      <c r="J184" s="5"/>
      <c r="M184" s="5"/>
      <c r="N184" s="2" t="s">
        <v>1307</v>
      </c>
      <c r="O184" s="28" t="s">
        <v>2528</v>
      </c>
      <c r="P184" s="3"/>
      <c r="Q184" s="27">
        <v>2</v>
      </c>
      <c r="R184" s="3"/>
      <c r="S184" s="3"/>
      <c r="T184" s="3">
        <v>3</v>
      </c>
      <c r="U184" s="3">
        <v>9</v>
      </c>
      <c r="V184" s="3"/>
      <c r="W184" s="3">
        <v>3</v>
      </c>
      <c r="X184" s="3"/>
      <c r="Z184" s="3"/>
      <c r="AA184" s="3"/>
      <c r="AB184" s="3">
        <v>5</v>
      </c>
      <c r="AC184" s="3">
        <v>4</v>
      </c>
      <c r="AD184" s="3"/>
      <c r="AE184" s="3"/>
      <c r="AF184" s="3">
        <v>3</v>
      </c>
      <c r="AG184" s="3">
        <v>1</v>
      </c>
      <c r="AH184" s="3">
        <v>1</v>
      </c>
      <c r="AI184" s="3">
        <v>9</v>
      </c>
      <c r="AJ184" s="3">
        <v>5</v>
      </c>
      <c r="AK184" s="3">
        <v>2</v>
      </c>
      <c r="AL184" s="3">
        <v>4</v>
      </c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>
        <v>1</v>
      </c>
      <c r="AX184" s="3"/>
      <c r="AY184" s="3">
        <v>9</v>
      </c>
      <c r="AZ184" s="3">
        <v>5</v>
      </c>
      <c r="BA184" s="3"/>
      <c r="BB184" s="3">
        <v>1</v>
      </c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>
        <v>9</v>
      </c>
      <c r="BN184" s="3"/>
      <c r="BO184" s="3"/>
      <c r="BP184" s="3"/>
      <c r="BQ184" s="3">
        <v>4</v>
      </c>
      <c r="BR184" s="3">
        <v>1</v>
      </c>
      <c r="BS184" s="3">
        <v>1</v>
      </c>
      <c r="BT184" s="3">
        <v>1</v>
      </c>
      <c r="BU184" s="3">
        <v>1</v>
      </c>
      <c r="BV184" s="3">
        <v>1</v>
      </c>
      <c r="BW184" s="3">
        <v>1</v>
      </c>
      <c r="BX184" s="3"/>
      <c r="BY184" s="3">
        <v>1</v>
      </c>
      <c r="BZ184" s="3">
        <v>1</v>
      </c>
      <c r="CA184" s="3">
        <v>2</v>
      </c>
      <c r="CB184" s="3">
        <v>1</v>
      </c>
      <c r="CC184" s="3"/>
      <c r="CD184" s="3">
        <v>3</v>
      </c>
      <c r="CE184" s="19">
        <v>1</v>
      </c>
      <c r="CF184" s="3">
        <v>1</v>
      </c>
      <c r="CG184" s="19">
        <v>2</v>
      </c>
      <c r="CH184" s="3">
        <v>3</v>
      </c>
      <c r="CI184" s="3">
        <v>1</v>
      </c>
      <c r="CJ184" s="3">
        <v>1</v>
      </c>
      <c r="CK184" s="3"/>
      <c r="CL184" s="3">
        <v>1</v>
      </c>
      <c r="CM184" s="3" t="s">
        <v>1185</v>
      </c>
      <c r="CN184" s="3" t="s">
        <v>1185</v>
      </c>
      <c r="CO184" s="3" t="s">
        <v>1185</v>
      </c>
      <c r="CP184" s="3" t="s">
        <v>1185</v>
      </c>
      <c r="CR184" s="3" t="s">
        <v>1185</v>
      </c>
      <c r="CS184" s="3" t="s">
        <v>1185</v>
      </c>
      <c r="CT184" s="3">
        <v>1</v>
      </c>
      <c r="CU184" s="3">
        <v>1</v>
      </c>
      <c r="CV184" s="3">
        <v>1</v>
      </c>
      <c r="CW184" s="3">
        <v>1</v>
      </c>
      <c r="CX184" s="3">
        <v>1</v>
      </c>
      <c r="CY184" s="3"/>
      <c r="CZ184" s="3">
        <v>9</v>
      </c>
      <c r="DA184" s="3">
        <v>9</v>
      </c>
      <c r="DB184" s="3">
        <v>1</v>
      </c>
      <c r="DC184" s="3">
        <v>9</v>
      </c>
      <c r="DD184" s="3">
        <v>9</v>
      </c>
      <c r="DE184" s="3">
        <v>1</v>
      </c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19">
        <v>9</v>
      </c>
      <c r="DR184" s="3"/>
      <c r="DY184" s="3"/>
      <c r="DZ184" s="3"/>
    </row>
    <row r="185" spans="1:142" ht="15" customHeight="1" x14ac:dyDescent="0.25">
      <c r="A185" s="6" t="s">
        <v>324</v>
      </c>
      <c r="B185" s="2" t="s">
        <v>784</v>
      </c>
      <c r="C185" s="2" t="s">
        <v>1309</v>
      </c>
      <c r="D185" s="25" t="s">
        <v>1183</v>
      </c>
      <c r="E185" s="4" t="s">
        <v>1190</v>
      </c>
      <c r="F185" s="4" t="s">
        <v>1308</v>
      </c>
      <c r="G185" s="26">
        <v>1959</v>
      </c>
      <c r="H185" s="5"/>
      <c r="J185" s="5"/>
      <c r="M185" s="5"/>
      <c r="N185" s="2" t="s">
        <v>1310</v>
      </c>
      <c r="O185" s="28" t="s">
        <v>2529</v>
      </c>
      <c r="P185" s="3"/>
      <c r="Q185" s="27">
        <v>2</v>
      </c>
      <c r="R185" s="3"/>
      <c r="S185" s="3">
        <v>1</v>
      </c>
      <c r="T185" s="3">
        <v>3</v>
      </c>
      <c r="U185" s="3">
        <v>9</v>
      </c>
      <c r="V185" s="3"/>
      <c r="W185" s="3"/>
      <c r="X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>
        <v>9</v>
      </c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>
        <v>1</v>
      </c>
      <c r="BO185" s="3"/>
      <c r="BP185" s="3"/>
      <c r="BQ185" s="3">
        <v>9</v>
      </c>
      <c r="BR185" s="3"/>
      <c r="BS185" s="3">
        <v>9</v>
      </c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 t="s">
        <v>1185</v>
      </c>
      <c r="CN185" s="3" t="s">
        <v>1185</v>
      </c>
      <c r="CO185" s="3" t="s">
        <v>1185</v>
      </c>
      <c r="CP185" s="3" t="s">
        <v>1185</v>
      </c>
      <c r="CR185" s="3" t="s">
        <v>1185</v>
      </c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19">
        <v>9</v>
      </c>
      <c r="DR185" s="3"/>
    </row>
    <row r="186" spans="1:142" ht="15" customHeight="1" x14ac:dyDescent="0.25">
      <c r="A186" s="6" t="s">
        <v>325</v>
      </c>
      <c r="B186" s="2" t="s">
        <v>784</v>
      </c>
      <c r="C186" s="2" t="s">
        <v>1311</v>
      </c>
      <c r="D186" s="25" t="s">
        <v>1183</v>
      </c>
      <c r="E186" s="4" t="s">
        <v>1190</v>
      </c>
      <c r="F186" s="4" t="s">
        <v>1068</v>
      </c>
      <c r="G186" s="26">
        <v>1982</v>
      </c>
      <c r="H186" s="5"/>
      <c r="J186" s="5"/>
      <c r="M186" s="5"/>
      <c r="N186" s="2" t="s">
        <v>1312</v>
      </c>
      <c r="O186" s="28" t="s">
        <v>2530</v>
      </c>
      <c r="P186" s="3"/>
      <c r="Q186" s="27">
        <v>2</v>
      </c>
      <c r="R186" s="3"/>
      <c r="S186" s="3">
        <v>2</v>
      </c>
      <c r="T186" s="3"/>
      <c r="U186" s="3">
        <v>9</v>
      </c>
      <c r="V186" s="3"/>
      <c r="W186" s="3">
        <v>3</v>
      </c>
      <c r="X186" s="3"/>
      <c r="Z186" s="3"/>
      <c r="AA186" s="3"/>
      <c r="AB186" s="3">
        <v>2</v>
      </c>
      <c r="AC186" s="3">
        <v>4</v>
      </c>
      <c r="AD186" s="3"/>
      <c r="AE186" s="3"/>
      <c r="AF186" s="3">
        <v>3</v>
      </c>
      <c r="AG186" s="3">
        <v>1</v>
      </c>
      <c r="AH186" s="3">
        <v>1</v>
      </c>
      <c r="AI186" s="3">
        <v>9</v>
      </c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>
        <v>9</v>
      </c>
      <c r="AX186" s="3"/>
      <c r="AY186" s="3">
        <v>9</v>
      </c>
      <c r="AZ186" s="3"/>
      <c r="BA186" s="3"/>
      <c r="BB186" s="3">
        <v>9</v>
      </c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>
        <v>9</v>
      </c>
      <c r="BN186" s="3"/>
      <c r="BO186" s="3"/>
      <c r="BP186" s="3"/>
      <c r="BQ186" s="3">
        <v>6</v>
      </c>
      <c r="BR186" s="3">
        <v>7</v>
      </c>
      <c r="BS186" s="3"/>
      <c r="BT186" s="3"/>
      <c r="BU186" s="3">
        <v>7</v>
      </c>
      <c r="BV186" s="19">
        <v>5</v>
      </c>
      <c r="BW186" s="19">
        <v>9</v>
      </c>
      <c r="BX186" s="3"/>
      <c r="BY186" s="3"/>
      <c r="BZ186" s="19">
        <v>9</v>
      </c>
      <c r="CA186" s="3"/>
      <c r="CB186" s="19">
        <v>7</v>
      </c>
      <c r="CC186" s="19">
        <v>7</v>
      </c>
      <c r="CD186" s="3"/>
      <c r="CE186" s="19">
        <v>5</v>
      </c>
      <c r="CF186" s="19">
        <v>9</v>
      </c>
      <c r="CG186" s="3"/>
      <c r="CH186" s="3">
        <v>8</v>
      </c>
      <c r="CI186" s="3">
        <v>1</v>
      </c>
      <c r="CJ186" s="19">
        <v>8</v>
      </c>
      <c r="CK186" s="3"/>
      <c r="CL186" s="19">
        <v>7</v>
      </c>
      <c r="CM186" s="19">
        <v>9</v>
      </c>
      <c r="CN186" s="3" t="s">
        <v>1185</v>
      </c>
      <c r="CO186" s="3" t="s">
        <v>1185</v>
      </c>
      <c r="CP186" s="3" t="s">
        <v>1185</v>
      </c>
      <c r="CQ186" s="3" t="s">
        <v>1185</v>
      </c>
      <c r="CR186" s="3" t="s">
        <v>1185</v>
      </c>
      <c r="CS186" s="3" t="s">
        <v>1185</v>
      </c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R186" s="3"/>
      <c r="DY186" s="3"/>
      <c r="DZ186" s="3"/>
      <c r="EA186" s="3"/>
    </row>
    <row r="187" spans="1:142" ht="15" customHeight="1" x14ac:dyDescent="0.25">
      <c r="A187" s="6" t="s">
        <v>326</v>
      </c>
      <c r="B187" s="2" t="s">
        <v>784</v>
      </c>
      <c r="C187" s="2" t="s">
        <v>1313</v>
      </c>
      <c r="D187" s="25" t="s">
        <v>1183</v>
      </c>
      <c r="E187" s="4" t="s">
        <v>1190</v>
      </c>
      <c r="F187" s="4" t="s">
        <v>1068</v>
      </c>
      <c r="G187" s="26">
        <v>1982</v>
      </c>
      <c r="H187" s="5"/>
      <c r="I187" s="5"/>
      <c r="J187" s="5"/>
      <c r="M187" s="5"/>
      <c r="N187" s="2" t="s">
        <v>1314</v>
      </c>
      <c r="O187" s="28" t="s">
        <v>2531</v>
      </c>
      <c r="P187" s="3"/>
      <c r="Q187" s="27">
        <v>2</v>
      </c>
      <c r="R187" s="3"/>
      <c r="S187" s="3">
        <v>2</v>
      </c>
      <c r="T187" s="3"/>
      <c r="U187" s="3">
        <v>9</v>
      </c>
      <c r="V187" s="3"/>
      <c r="W187" s="3">
        <v>4</v>
      </c>
      <c r="X187" s="3"/>
      <c r="Z187" s="3"/>
      <c r="AA187" s="3"/>
      <c r="AB187" s="3">
        <v>7</v>
      </c>
      <c r="AC187" s="3">
        <v>5</v>
      </c>
      <c r="AD187" s="3"/>
      <c r="AE187" s="3"/>
      <c r="AF187" s="3">
        <v>3</v>
      </c>
      <c r="AG187" s="3">
        <v>1</v>
      </c>
      <c r="AH187" s="3">
        <v>1</v>
      </c>
      <c r="AI187" s="3">
        <v>9</v>
      </c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>
        <v>9</v>
      </c>
      <c r="AX187" s="3"/>
      <c r="AY187" s="3">
        <v>9</v>
      </c>
      <c r="AZ187" s="3"/>
      <c r="BA187" s="3"/>
      <c r="BB187" s="3">
        <v>9</v>
      </c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>
        <v>9</v>
      </c>
      <c r="BN187" s="3"/>
      <c r="BO187" s="3"/>
      <c r="BP187" s="3"/>
      <c r="BQ187" s="3"/>
      <c r="BR187" s="3">
        <v>9</v>
      </c>
      <c r="BS187" s="3"/>
      <c r="BT187" s="19">
        <v>2</v>
      </c>
      <c r="BU187" s="3">
        <v>9</v>
      </c>
      <c r="BV187" s="19">
        <v>1</v>
      </c>
      <c r="BW187" s="19">
        <v>9</v>
      </c>
      <c r="BX187" s="19">
        <v>5</v>
      </c>
      <c r="BY187" s="3"/>
      <c r="BZ187" s="19">
        <v>1</v>
      </c>
      <c r="CA187" s="19">
        <v>9</v>
      </c>
      <c r="CB187" s="19">
        <v>8</v>
      </c>
      <c r="CC187" s="19">
        <v>9</v>
      </c>
      <c r="CD187" s="3">
        <v>9</v>
      </c>
      <c r="CE187" s="19">
        <v>1</v>
      </c>
      <c r="CF187" s="19">
        <v>1</v>
      </c>
      <c r="CG187" s="3"/>
      <c r="CH187" s="3">
        <v>9</v>
      </c>
      <c r="CI187" s="3">
        <v>8</v>
      </c>
      <c r="CJ187" s="19">
        <v>1</v>
      </c>
      <c r="CK187" s="19">
        <v>9</v>
      </c>
      <c r="CL187" s="19">
        <v>1</v>
      </c>
      <c r="CM187" s="19">
        <v>1</v>
      </c>
      <c r="CN187" s="3" t="s">
        <v>1185</v>
      </c>
      <c r="CO187" s="3" t="s">
        <v>1185</v>
      </c>
      <c r="CP187" s="3" t="s">
        <v>1185</v>
      </c>
      <c r="CQ187" s="3" t="s">
        <v>1185</v>
      </c>
      <c r="CR187" s="3" t="s">
        <v>1185</v>
      </c>
      <c r="CS187" s="3" t="s">
        <v>1185</v>
      </c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R187" s="3"/>
      <c r="DU187" s="3"/>
      <c r="DV187" s="3"/>
      <c r="DW187" s="3"/>
      <c r="DX187" s="3"/>
      <c r="DY187" s="3"/>
      <c r="DZ187" s="3"/>
    </row>
    <row r="188" spans="1:142" ht="15" customHeight="1" x14ac:dyDescent="0.25">
      <c r="A188" s="6" t="s">
        <v>327</v>
      </c>
      <c r="B188" s="2" t="s">
        <v>784</v>
      </c>
      <c r="C188" s="2" t="s">
        <v>1315</v>
      </c>
      <c r="D188" s="25" t="s">
        <v>1183</v>
      </c>
      <c r="E188" s="4" t="s">
        <v>1190</v>
      </c>
      <c r="F188" s="4" t="s">
        <v>1068</v>
      </c>
      <c r="G188" s="26">
        <v>1982</v>
      </c>
      <c r="H188" s="5"/>
      <c r="I188" s="5"/>
      <c r="J188" s="5"/>
      <c r="M188" s="5"/>
      <c r="N188" s="2" t="s">
        <v>1316</v>
      </c>
      <c r="O188" s="28" t="s">
        <v>2532</v>
      </c>
      <c r="P188" s="3"/>
      <c r="Q188" s="27">
        <v>2</v>
      </c>
      <c r="R188" s="3"/>
      <c r="S188" s="3">
        <v>2</v>
      </c>
      <c r="T188" s="3"/>
      <c r="U188" s="3">
        <v>9</v>
      </c>
      <c r="V188" s="3"/>
      <c r="W188" s="3">
        <v>4</v>
      </c>
      <c r="X188" s="3"/>
      <c r="Z188" s="3"/>
      <c r="AA188" s="3"/>
      <c r="AB188" s="3">
        <v>7</v>
      </c>
      <c r="AC188" s="3">
        <v>5</v>
      </c>
      <c r="AD188" s="3"/>
      <c r="AE188" s="3"/>
      <c r="AF188" s="3">
        <v>5</v>
      </c>
      <c r="AG188" s="3">
        <v>1</v>
      </c>
      <c r="AH188" s="3">
        <v>3</v>
      </c>
      <c r="AI188" s="3">
        <v>9</v>
      </c>
      <c r="AJ188" s="3">
        <v>7</v>
      </c>
      <c r="AK188" s="3"/>
      <c r="AL188" s="3">
        <v>5</v>
      </c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>
        <v>9</v>
      </c>
      <c r="AX188" s="3"/>
      <c r="AY188" s="3">
        <v>9</v>
      </c>
      <c r="AZ188" s="3">
        <v>5</v>
      </c>
      <c r="BA188" s="3">
        <v>1</v>
      </c>
      <c r="BB188" s="3">
        <v>9</v>
      </c>
      <c r="BC188" s="3">
        <v>101</v>
      </c>
      <c r="BD188" s="3"/>
      <c r="BE188" s="3"/>
      <c r="BF188" s="3"/>
      <c r="BG188" s="3">
        <v>9</v>
      </c>
      <c r="BH188" s="3"/>
      <c r="BI188" s="3"/>
      <c r="BJ188" s="3"/>
      <c r="BK188" s="3">
        <v>1</v>
      </c>
      <c r="BL188" s="3"/>
      <c r="BM188" s="3">
        <v>5</v>
      </c>
      <c r="BN188" s="3">
        <v>4</v>
      </c>
      <c r="BO188" s="3"/>
      <c r="BP188" s="3">
        <v>8</v>
      </c>
      <c r="BQ188" s="3">
        <v>1</v>
      </c>
      <c r="BR188" s="3">
        <v>1</v>
      </c>
      <c r="BS188" s="3"/>
      <c r="BT188" s="19">
        <v>1</v>
      </c>
      <c r="BU188" s="3">
        <v>1</v>
      </c>
      <c r="BV188" s="19">
        <v>1</v>
      </c>
      <c r="BW188" s="19">
        <v>1</v>
      </c>
      <c r="BX188" s="19">
        <v>1</v>
      </c>
      <c r="BY188" s="19">
        <v>7</v>
      </c>
      <c r="BZ188" s="19">
        <v>9</v>
      </c>
      <c r="CA188" s="19">
        <v>3</v>
      </c>
      <c r="CB188" s="19">
        <v>1</v>
      </c>
      <c r="CC188" s="19">
        <v>1</v>
      </c>
      <c r="CD188" s="3">
        <v>9</v>
      </c>
      <c r="CE188" s="19">
        <v>1</v>
      </c>
      <c r="CF188" s="3">
        <v>1</v>
      </c>
      <c r="CG188" s="3"/>
      <c r="CH188" s="3">
        <v>7</v>
      </c>
      <c r="CI188" s="3">
        <v>9</v>
      </c>
      <c r="CJ188" s="3">
        <v>1</v>
      </c>
      <c r="CK188" s="3">
        <v>7</v>
      </c>
      <c r="CL188" s="3">
        <v>9</v>
      </c>
      <c r="CM188" s="3" t="s">
        <v>1185</v>
      </c>
      <c r="CN188" s="3" t="s">
        <v>1185</v>
      </c>
      <c r="CO188" s="3" t="s">
        <v>1185</v>
      </c>
      <c r="CP188" s="3" t="s">
        <v>1185</v>
      </c>
      <c r="CQ188" s="3" t="s">
        <v>1185</v>
      </c>
      <c r="CR188" s="3" t="s">
        <v>1185</v>
      </c>
      <c r="CS188" s="3" t="s">
        <v>1185</v>
      </c>
      <c r="CT188" s="3">
        <v>9</v>
      </c>
      <c r="CU188" s="3">
        <v>9</v>
      </c>
      <c r="CV188" s="3">
        <v>9</v>
      </c>
      <c r="CW188" s="3">
        <v>9</v>
      </c>
      <c r="CX188" s="3">
        <v>1</v>
      </c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R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</row>
    <row r="189" spans="1:142" ht="15" customHeight="1" x14ac:dyDescent="0.25">
      <c r="A189" s="6" t="s">
        <v>328</v>
      </c>
      <c r="B189" s="2" t="s">
        <v>784</v>
      </c>
      <c r="C189" s="2" t="s">
        <v>1317</v>
      </c>
      <c r="D189" s="25" t="s">
        <v>1183</v>
      </c>
      <c r="E189" s="4" t="s">
        <v>1190</v>
      </c>
      <c r="F189" s="4" t="s">
        <v>1068</v>
      </c>
      <c r="G189" s="26">
        <v>1982</v>
      </c>
      <c r="H189" s="5"/>
      <c r="I189" s="5"/>
      <c r="J189" s="5"/>
      <c r="M189" s="5"/>
      <c r="N189" s="2" t="s">
        <v>1318</v>
      </c>
      <c r="O189" s="28" t="s">
        <v>2533</v>
      </c>
      <c r="P189" s="3"/>
      <c r="Q189" s="27">
        <v>2</v>
      </c>
      <c r="R189" s="3"/>
      <c r="S189" s="3">
        <v>2</v>
      </c>
      <c r="T189" s="3"/>
      <c r="U189" s="3">
        <v>9</v>
      </c>
      <c r="V189" s="3"/>
      <c r="W189" s="3">
        <v>4</v>
      </c>
      <c r="X189" s="3"/>
      <c r="Z189" s="3"/>
      <c r="AA189" s="3"/>
      <c r="AB189" s="3">
        <v>7</v>
      </c>
      <c r="AC189" s="3">
        <v>4</v>
      </c>
      <c r="AD189" s="3"/>
      <c r="AE189" s="3"/>
      <c r="AF189" s="3">
        <v>3</v>
      </c>
      <c r="AG189" s="3">
        <v>1</v>
      </c>
      <c r="AH189" s="3">
        <v>1</v>
      </c>
      <c r="AI189" s="3">
        <v>9</v>
      </c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>
        <v>9</v>
      </c>
      <c r="AX189" s="3"/>
      <c r="AY189" s="3">
        <v>9</v>
      </c>
      <c r="AZ189" s="3"/>
      <c r="BA189" s="3"/>
      <c r="BB189" s="3">
        <v>9</v>
      </c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>
        <v>9</v>
      </c>
      <c r="BN189" s="3"/>
      <c r="BO189" s="3"/>
      <c r="BP189" s="3"/>
      <c r="BQ189" s="3">
        <v>1</v>
      </c>
      <c r="BR189" s="3">
        <v>9</v>
      </c>
      <c r="BS189" s="3"/>
      <c r="BT189" s="3">
        <v>1</v>
      </c>
      <c r="BU189" s="3">
        <v>1</v>
      </c>
      <c r="BV189" s="3">
        <v>1</v>
      </c>
      <c r="BW189" s="3">
        <v>1</v>
      </c>
      <c r="BX189" s="3">
        <v>1</v>
      </c>
      <c r="BY189" s="3">
        <v>1</v>
      </c>
      <c r="BZ189" s="3">
        <v>1</v>
      </c>
      <c r="CA189" s="3">
        <v>1</v>
      </c>
      <c r="CB189" s="3">
        <v>1</v>
      </c>
      <c r="CC189" s="3">
        <v>1</v>
      </c>
      <c r="CD189" s="3">
        <v>1</v>
      </c>
      <c r="CE189" s="19">
        <v>1</v>
      </c>
      <c r="CF189" s="3">
        <v>1</v>
      </c>
      <c r="CG189" s="3"/>
      <c r="CH189" s="3">
        <v>1</v>
      </c>
      <c r="CI189" s="3">
        <v>1</v>
      </c>
      <c r="CJ189" s="3">
        <v>1</v>
      </c>
      <c r="CK189" s="3"/>
      <c r="CL189" s="3">
        <v>9</v>
      </c>
      <c r="CM189" s="3" t="s">
        <v>1185</v>
      </c>
      <c r="CN189" s="3" t="s">
        <v>1185</v>
      </c>
      <c r="CO189" s="3" t="s">
        <v>1185</v>
      </c>
      <c r="CP189" s="3" t="s">
        <v>1185</v>
      </c>
      <c r="CQ189" s="3" t="s">
        <v>1185</v>
      </c>
      <c r="CR189" s="3" t="s">
        <v>1185</v>
      </c>
      <c r="CS189" s="3" t="s">
        <v>1185</v>
      </c>
      <c r="CT189" s="3">
        <v>1</v>
      </c>
      <c r="CU189" s="3">
        <v>1</v>
      </c>
      <c r="CV189" s="3">
        <v>1</v>
      </c>
      <c r="CW189" s="3">
        <v>9</v>
      </c>
      <c r="CX189" s="3">
        <v>1</v>
      </c>
      <c r="CY189" s="3"/>
      <c r="CZ189" s="3">
        <v>9</v>
      </c>
      <c r="DA189" s="3">
        <v>9</v>
      </c>
      <c r="DB189" s="3">
        <v>1</v>
      </c>
      <c r="DC189" s="3">
        <v>9</v>
      </c>
      <c r="DD189" s="3">
        <v>9</v>
      </c>
      <c r="DE189" s="3">
        <v>1</v>
      </c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R189" s="3"/>
    </row>
    <row r="190" spans="1:142" ht="15" customHeight="1" x14ac:dyDescent="0.25">
      <c r="A190" s="6" t="s">
        <v>329</v>
      </c>
      <c r="B190" s="2" t="s">
        <v>784</v>
      </c>
      <c r="C190" s="2" t="s">
        <v>1319</v>
      </c>
      <c r="D190" s="25" t="s">
        <v>1183</v>
      </c>
      <c r="E190" s="4" t="s">
        <v>1190</v>
      </c>
      <c r="F190" s="4" t="s">
        <v>1320</v>
      </c>
      <c r="G190" s="26">
        <v>1982</v>
      </c>
      <c r="H190" s="5"/>
      <c r="I190" s="5"/>
      <c r="J190" s="5"/>
      <c r="M190" s="5"/>
      <c r="N190" s="2" t="s">
        <v>1321</v>
      </c>
      <c r="O190" s="28" t="s">
        <v>2534</v>
      </c>
      <c r="P190" s="3"/>
      <c r="Q190" s="27">
        <v>2</v>
      </c>
      <c r="R190" s="3"/>
      <c r="S190" s="3">
        <v>2</v>
      </c>
      <c r="T190" s="3"/>
      <c r="U190" s="3">
        <v>9</v>
      </c>
      <c r="V190" s="3"/>
      <c r="W190" s="3">
        <v>3</v>
      </c>
      <c r="X190" s="3"/>
      <c r="Z190" s="3"/>
      <c r="AA190" s="3"/>
      <c r="AB190" s="3">
        <v>7</v>
      </c>
      <c r="AC190" s="3">
        <v>4</v>
      </c>
      <c r="AD190" s="3"/>
      <c r="AE190" s="3"/>
      <c r="AF190" s="3">
        <v>3</v>
      </c>
      <c r="AG190" s="3">
        <v>1</v>
      </c>
      <c r="AH190" s="3">
        <v>1</v>
      </c>
      <c r="AI190" s="3">
        <v>9</v>
      </c>
      <c r="AJ190" s="3">
        <v>5</v>
      </c>
      <c r="AK190" s="3"/>
      <c r="AL190" s="3">
        <v>5</v>
      </c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>
        <v>9</v>
      </c>
      <c r="AX190" s="3"/>
      <c r="AY190" s="3">
        <v>9</v>
      </c>
      <c r="AZ190" s="3">
        <v>2</v>
      </c>
      <c r="BA190" s="3"/>
      <c r="BB190" s="3">
        <v>9</v>
      </c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>
        <v>8</v>
      </c>
      <c r="BN190" s="3">
        <v>2</v>
      </c>
      <c r="BO190" s="3"/>
      <c r="BP190" s="3"/>
      <c r="BQ190" s="3"/>
      <c r="BR190" s="3">
        <v>3</v>
      </c>
      <c r="BS190" s="3">
        <v>9</v>
      </c>
      <c r="BT190" s="3">
        <v>2</v>
      </c>
      <c r="BU190" s="3"/>
      <c r="BV190" s="3"/>
      <c r="BW190" s="3"/>
      <c r="BX190" s="3"/>
      <c r="BY190" s="3">
        <v>8</v>
      </c>
      <c r="BZ190" s="3">
        <v>7</v>
      </c>
      <c r="CA190" s="3"/>
      <c r="CB190" s="3">
        <v>2</v>
      </c>
      <c r="CC190" s="3">
        <v>7</v>
      </c>
      <c r="CD190" s="3">
        <v>1</v>
      </c>
      <c r="CE190" s="19">
        <v>7</v>
      </c>
      <c r="CF190" s="3">
        <v>5</v>
      </c>
      <c r="CG190" s="19">
        <v>3</v>
      </c>
      <c r="CH190" s="3">
        <v>2</v>
      </c>
      <c r="CI190" s="3">
        <v>4</v>
      </c>
      <c r="CJ190" s="3">
        <v>1</v>
      </c>
      <c r="CK190" s="3">
        <v>3</v>
      </c>
      <c r="CL190" s="3">
        <v>4</v>
      </c>
      <c r="CM190" s="3" t="s">
        <v>1185</v>
      </c>
      <c r="CN190" s="3" t="s">
        <v>1185</v>
      </c>
      <c r="CO190" s="3" t="s">
        <v>1185</v>
      </c>
      <c r="CP190" s="3" t="s">
        <v>1185</v>
      </c>
      <c r="CQ190" s="3" t="s">
        <v>1185</v>
      </c>
      <c r="CR190" s="3" t="s">
        <v>1185</v>
      </c>
      <c r="CS190" s="3" t="s">
        <v>1185</v>
      </c>
      <c r="CT190" s="3">
        <v>1</v>
      </c>
      <c r="CU190" s="3">
        <v>1</v>
      </c>
      <c r="CV190" s="3">
        <v>5</v>
      </c>
      <c r="CW190" s="3">
        <v>4</v>
      </c>
      <c r="CX190" s="3">
        <v>5</v>
      </c>
      <c r="CY190" s="3"/>
      <c r="CZ190" s="3">
        <v>9</v>
      </c>
      <c r="DA190" s="3">
        <v>9</v>
      </c>
      <c r="DB190" s="3">
        <v>9</v>
      </c>
      <c r="DC190" s="3">
        <v>9</v>
      </c>
      <c r="DD190" s="3">
        <v>9</v>
      </c>
      <c r="DE190" s="3">
        <v>9</v>
      </c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R190" s="3"/>
      <c r="DV190" s="3"/>
      <c r="DW190" s="3"/>
      <c r="EE190" s="3"/>
      <c r="EF190" s="3"/>
      <c r="EG190" s="3"/>
      <c r="EH190" s="3"/>
      <c r="EI190" s="3"/>
      <c r="EJ190" s="3"/>
      <c r="EK190" s="3"/>
      <c r="EL190" s="3"/>
    </row>
    <row r="191" spans="1:142" ht="15" customHeight="1" x14ac:dyDescent="0.25">
      <c r="A191" s="6" t="s">
        <v>330</v>
      </c>
      <c r="B191" s="2" t="s">
        <v>784</v>
      </c>
      <c r="C191" s="2" t="s">
        <v>1322</v>
      </c>
      <c r="D191" s="25" t="s">
        <v>1183</v>
      </c>
      <c r="E191" s="4" t="s">
        <v>858</v>
      </c>
      <c r="F191" s="5"/>
      <c r="G191" s="29"/>
      <c r="H191" s="4" t="s">
        <v>130</v>
      </c>
      <c r="I191" s="5"/>
      <c r="J191" s="5"/>
      <c r="M191" s="4" t="s">
        <v>1323</v>
      </c>
      <c r="N191" s="2" t="s">
        <v>1324</v>
      </c>
      <c r="O191" s="28" t="s">
        <v>2535</v>
      </c>
      <c r="P191" s="3"/>
      <c r="Q191" s="27">
        <v>2</v>
      </c>
      <c r="R191" s="3"/>
      <c r="S191" s="3">
        <v>2</v>
      </c>
      <c r="T191" s="3"/>
      <c r="U191" s="3">
        <v>9</v>
      </c>
      <c r="V191" s="3"/>
      <c r="W191" s="3"/>
      <c r="X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>
        <v>9</v>
      </c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>
        <v>1</v>
      </c>
      <c r="BR191" s="3">
        <v>1</v>
      </c>
      <c r="BS191" s="3">
        <v>1</v>
      </c>
      <c r="BT191" s="3">
        <v>1</v>
      </c>
      <c r="BU191" s="3">
        <v>1</v>
      </c>
      <c r="BV191" s="3">
        <v>1</v>
      </c>
      <c r="BW191" s="3">
        <v>1</v>
      </c>
      <c r="BX191" s="3">
        <v>1</v>
      </c>
      <c r="BY191" s="3">
        <v>9</v>
      </c>
      <c r="BZ191" s="3">
        <v>9</v>
      </c>
      <c r="CA191" s="3">
        <v>1</v>
      </c>
      <c r="CB191" s="3">
        <v>1</v>
      </c>
      <c r="CC191" s="3">
        <v>1</v>
      </c>
      <c r="CD191" s="3">
        <v>9</v>
      </c>
      <c r="CE191" s="3"/>
      <c r="CF191" s="3"/>
      <c r="CG191" s="3"/>
      <c r="CH191" s="3"/>
      <c r="CI191" s="3"/>
      <c r="CJ191" s="3"/>
      <c r="CK191" s="3"/>
      <c r="CL191" s="3"/>
      <c r="CM191" s="3" t="s">
        <v>1185</v>
      </c>
      <c r="CN191" s="3" t="s">
        <v>1185</v>
      </c>
      <c r="CO191" s="3" t="s">
        <v>1185</v>
      </c>
      <c r="CP191" s="3" t="s">
        <v>1185</v>
      </c>
      <c r="CQ191" s="3" t="s">
        <v>1185</v>
      </c>
      <c r="CR191" s="3" t="s">
        <v>1185</v>
      </c>
      <c r="CS191" s="3" t="s">
        <v>1185</v>
      </c>
      <c r="CT191" s="3"/>
      <c r="CU191" s="3"/>
      <c r="CV191" s="3"/>
      <c r="CW191" s="3"/>
      <c r="CX191" s="3"/>
      <c r="CY191" s="3"/>
      <c r="CZ191" s="3">
        <v>9</v>
      </c>
      <c r="DA191" s="3">
        <v>9</v>
      </c>
      <c r="DB191" s="3">
        <v>9</v>
      </c>
      <c r="DC191" s="3">
        <v>9</v>
      </c>
      <c r="DD191" s="3">
        <v>9</v>
      </c>
      <c r="DE191" s="3">
        <v>9</v>
      </c>
      <c r="DF191" s="3"/>
      <c r="DG191" s="3"/>
      <c r="DH191" s="3"/>
      <c r="DI191" s="3"/>
      <c r="DJ191" s="3"/>
      <c r="DK191" s="3"/>
      <c r="DL191" s="3">
        <v>8</v>
      </c>
      <c r="DM191" s="3">
        <v>9</v>
      </c>
      <c r="DN191" s="3">
        <v>1</v>
      </c>
      <c r="DO191" s="3">
        <v>9</v>
      </c>
      <c r="DP191" s="3"/>
      <c r="DR191" s="3"/>
    </row>
    <row r="192" spans="1:142" ht="15" customHeight="1" x14ac:dyDescent="0.25">
      <c r="A192" s="6" t="s">
        <v>331</v>
      </c>
      <c r="B192" s="2" t="s">
        <v>784</v>
      </c>
      <c r="C192" s="2" t="s">
        <v>1325</v>
      </c>
      <c r="D192" s="25" t="s">
        <v>1183</v>
      </c>
      <c r="E192" s="4" t="s">
        <v>1190</v>
      </c>
      <c r="F192" s="4" t="s">
        <v>1320</v>
      </c>
      <c r="G192" s="26">
        <v>1982</v>
      </c>
      <c r="H192" s="5"/>
      <c r="I192" s="5"/>
      <c r="J192" s="5"/>
      <c r="M192" s="4" t="s">
        <v>1326</v>
      </c>
      <c r="N192" s="2" t="s">
        <v>1327</v>
      </c>
      <c r="O192" s="28" t="s">
        <v>2536</v>
      </c>
      <c r="P192" s="3"/>
      <c r="Q192" s="27">
        <v>2</v>
      </c>
      <c r="R192" s="3"/>
      <c r="S192" s="3">
        <v>1</v>
      </c>
      <c r="T192" s="3"/>
      <c r="U192" s="3">
        <v>9</v>
      </c>
      <c r="V192" s="3"/>
      <c r="W192" s="3">
        <v>4</v>
      </c>
      <c r="X192" s="3"/>
      <c r="Z192" s="3"/>
      <c r="AA192" s="3"/>
      <c r="AB192" s="3">
        <v>2</v>
      </c>
      <c r="AC192" s="3">
        <v>5</v>
      </c>
      <c r="AD192" s="3"/>
      <c r="AE192" s="3"/>
      <c r="AF192" s="3">
        <v>1</v>
      </c>
      <c r="AG192" s="3"/>
      <c r="AH192" s="3"/>
      <c r="AI192" s="3">
        <v>9</v>
      </c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>
        <v>9</v>
      </c>
      <c r="AX192" s="3"/>
      <c r="AY192" s="3">
        <v>9</v>
      </c>
      <c r="AZ192" s="3"/>
      <c r="BA192" s="3">
        <v>1</v>
      </c>
      <c r="BB192" s="3">
        <v>9</v>
      </c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>
        <v>9</v>
      </c>
      <c r="BN192" s="3">
        <v>4</v>
      </c>
      <c r="BO192" s="3"/>
      <c r="BP192" s="3"/>
      <c r="BQ192" s="3">
        <v>6</v>
      </c>
      <c r="BR192" s="3">
        <v>7</v>
      </c>
      <c r="BS192" s="3"/>
      <c r="BT192" s="19">
        <v>7</v>
      </c>
      <c r="BU192" s="3">
        <v>9</v>
      </c>
      <c r="BV192" s="19">
        <v>8</v>
      </c>
      <c r="BW192" s="19">
        <v>9</v>
      </c>
      <c r="BX192" s="3"/>
      <c r="BY192" s="3"/>
      <c r="BZ192" s="19">
        <v>9</v>
      </c>
      <c r="CA192" s="19">
        <v>8</v>
      </c>
      <c r="CB192" s="19">
        <v>8</v>
      </c>
      <c r="CC192" s="19">
        <v>7</v>
      </c>
      <c r="CD192" s="3">
        <v>9</v>
      </c>
      <c r="CE192" s="19">
        <v>6</v>
      </c>
      <c r="CF192" s="19">
        <v>9</v>
      </c>
      <c r="CG192" s="3"/>
      <c r="CH192" s="3">
        <v>9</v>
      </c>
      <c r="CI192" s="3">
        <v>6</v>
      </c>
      <c r="CJ192" s="19">
        <v>9</v>
      </c>
      <c r="CK192" s="19">
        <v>9</v>
      </c>
      <c r="CL192" s="19">
        <v>8</v>
      </c>
      <c r="CM192" s="19">
        <v>8</v>
      </c>
      <c r="CN192" s="3" t="s">
        <v>1185</v>
      </c>
      <c r="CO192" s="3" t="s">
        <v>1185</v>
      </c>
      <c r="CP192" s="3" t="s">
        <v>1185</v>
      </c>
      <c r="CQ192" s="3" t="s">
        <v>1185</v>
      </c>
      <c r="CR192" s="3" t="s">
        <v>1185</v>
      </c>
      <c r="CS192" s="3" t="s">
        <v>1185</v>
      </c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19">
        <v>9</v>
      </c>
      <c r="DR192" s="3"/>
    </row>
    <row r="193" spans="1:142" ht="15" customHeight="1" x14ac:dyDescent="0.25">
      <c r="A193" s="6" t="s">
        <v>332</v>
      </c>
      <c r="B193" s="2" t="s">
        <v>784</v>
      </c>
      <c r="C193" s="2" t="s">
        <v>1328</v>
      </c>
      <c r="D193" s="25" t="s">
        <v>1183</v>
      </c>
      <c r="E193" s="4" t="s">
        <v>1190</v>
      </c>
      <c r="F193" s="4" t="s">
        <v>1096</v>
      </c>
      <c r="G193" s="26">
        <v>1989</v>
      </c>
      <c r="H193" s="5"/>
      <c r="I193" s="5"/>
      <c r="J193" s="5"/>
      <c r="M193" s="5"/>
      <c r="N193" s="2" t="s">
        <v>1329</v>
      </c>
      <c r="O193" s="28" t="s">
        <v>2537</v>
      </c>
      <c r="P193" s="3"/>
      <c r="Q193" s="27">
        <v>2</v>
      </c>
      <c r="R193" s="3"/>
      <c r="S193" s="3"/>
      <c r="T193" s="3"/>
      <c r="U193" s="3">
        <v>9</v>
      </c>
      <c r="V193" s="3"/>
      <c r="W193" s="3">
        <v>4</v>
      </c>
      <c r="X193" s="3"/>
      <c r="Z193" s="3"/>
      <c r="AA193" s="3"/>
      <c r="AB193" s="3">
        <v>1</v>
      </c>
      <c r="AC193" s="3">
        <v>5</v>
      </c>
      <c r="AD193" s="3"/>
      <c r="AE193" s="3"/>
      <c r="AF193" s="3">
        <v>1</v>
      </c>
      <c r="AG193" s="3"/>
      <c r="AH193" s="3"/>
      <c r="AI193" s="3">
        <v>9</v>
      </c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>
        <v>9</v>
      </c>
      <c r="AX193" s="3"/>
      <c r="AY193" s="3">
        <v>9</v>
      </c>
      <c r="AZ193" s="3"/>
      <c r="BA193" s="3">
        <v>1</v>
      </c>
      <c r="BB193" s="3">
        <v>9</v>
      </c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>
        <v>9</v>
      </c>
      <c r="BN193" s="3"/>
      <c r="BO193" s="3"/>
      <c r="BP193" s="3"/>
      <c r="BQ193" s="3">
        <v>1</v>
      </c>
      <c r="BR193" s="3">
        <v>1</v>
      </c>
      <c r="BS193" s="3"/>
      <c r="BT193" s="19">
        <v>2</v>
      </c>
      <c r="BU193" s="3">
        <v>1</v>
      </c>
      <c r="BV193" s="19">
        <v>1</v>
      </c>
      <c r="BW193" s="19">
        <v>1</v>
      </c>
      <c r="BX193" s="19">
        <v>1</v>
      </c>
      <c r="BY193" s="3"/>
      <c r="BZ193" s="19">
        <v>1</v>
      </c>
      <c r="CA193" s="19">
        <v>2</v>
      </c>
      <c r="CB193" s="19">
        <v>1</v>
      </c>
      <c r="CC193" s="19">
        <v>2</v>
      </c>
      <c r="CD193" s="3">
        <v>5</v>
      </c>
      <c r="CE193" s="19">
        <v>1</v>
      </c>
      <c r="CF193" s="19">
        <v>1</v>
      </c>
      <c r="CG193" s="3"/>
      <c r="CH193" s="3">
        <v>1</v>
      </c>
      <c r="CI193" s="3">
        <v>1</v>
      </c>
      <c r="CJ193" s="19">
        <v>1</v>
      </c>
      <c r="CK193" s="19">
        <v>2</v>
      </c>
      <c r="CL193" s="19">
        <v>1</v>
      </c>
      <c r="CM193" s="19">
        <v>1</v>
      </c>
      <c r="CN193" s="3" t="s">
        <v>1185</v>
      </c>
      <c r="CO193" s="3" t="s">
        <v>1185</v>
      </c>
      <c r="CP193" s="3" t="s">
        <v>1185</v>
      </c>
      <c r="CQ193" s="3" t="s">
        <v>1185</v>
      </c>
      <c r="CR193" s="3" t="s">
        <v>1185</v>
      </c>
      <c r="CS193" s="3" t="s">
        <v>1185</v>
      </c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R193" s="3"/>
      <c r="DU193" s="3"/>
      <c r="DV193" s="3"/>
      <c r="DW193" s="3"/>
      <c r="DY193" s="3"/>
      <c r="DZ193" s="3"/>
      <c r="EE193" s="3"/>
      <c r="EF193" s="3"/>
      <c r="EG193" s="3"/>
      <c r="EH193" s="3"/>
      <c r="EI193" s="3"/>
      <c r="EJ193" s="3"/>
      <c r="EK193" s="3"/>
      <c r="EL193" s="3"/>
    </row>
    <row r="194" spans="1:142" ht="15" customHeight="1" x14ac:dyDescent="0.25">
      <c r="A194" s="6" t="s">
        <v>333</v>
      </c>
      <c r="B194" s="2" t="s">
        <v>784</v>
      </c>
      <c r="C194" s="2" t="s">
        <v>1330</v>
      </c>
      <c r="D194" s="25" t="s">
        <v>1183</v>
      </c>
      <c r="E194" s="4" t="s">
        <v>1190</v>
      </c>
      <c r="F194" s="4" t="s">
        <v>1096</v>
      </c>
      <c r="G194" s="26">
        <v>1989</v>
      </c>
      <c r="H194" s="5"/>
      <c r="I194" s="5"/>
      <c r="J194" s="5"/>
      <c r="M194" s="5"/>
      <c r="N194" s="2" t="s">
        <v>1331</v>
      </c>
      <c r="O194" s="28" t="s">
        <v>2538</v>
      </c>
      <c r="P194" s="3"/>
      <c r="Q194" s="27">
        <v>2</v>
      </c>
      <c r="R194" s="3"/>
      <c r="S194" s="3"/>
      <c r="T194" s="3"/>
      <c r="U194" s="3">
        <v>9</v>
      </c>
      <c r="V194" s="3"/>
      <c r="W194" s="3">
        <v>3</v>
      </c>
      <c r="X194" s="3"/>
      <c r="Z194" s="3"/>
      <c r="AA194" s="3"/>
      <c r="AB194" s="3"/>
      <c r="AC194" s="3">
        <v>5</v>
      </c>
      <c r="AD194" s="3"/>
      <c r="AE194" s="3"/>
      <c r="AF194" s="3">
        <v>1</v>
      </c>
      <c r="AG194" s="3"/>
      <c r="AH194" s="3"/>
      <c r="AI194" s="3">
        <v>9</v>
      </c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>
        <v>9</v>
      </c>
      <c r="AX194" s="3"/>
      <c r="AY194" s="3">
        <v>9</v>
      </c>
      <c r="AZ194" s="3"/>
      <c r="BA194" s="3">
        <v>1</v>
      </c>
      <c r="BB194" s="3">
        <v>9</v>
      </c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>
        <v>9</v>
      </c>
      <c r="BN194" s="3"/>
      <c r="BO194" s="3"/>
      <c r="BP194" s="3"/>
      <c r="BQ194" s="3">
        <v>8</v>
      </c>
      <c r="BR194" s="3">
        <v>7</v>
      </c>
      <c r="BS194" s="3"/>
      <c r="BT194" s="3"/>
      <c r="BU194" s="3">
        <v>9</v>
      </c>
      <c r="BV194" s="19">
        <v>6</v>
      </c>
      <c r="BW194" s="19">
        <v>9</v>
      </c>
      <c r="BX194" s="3"/>
      <c r="BY194" s="3"/>
      <c r="BZ194" s="19">
        <v>9</v>
      </c>
      <c r="CA194" s="19">
        <v>8</v>
      </c>
      <c r="CB194" s="19">
        <v>9</v>
      </c>
      <c r="CC194" s="19">
        <v>7</v>
      </c>
      <c r="CD194" s="3">
        <v>9</v>
      </c>
      <c r="CE194" s="3"/>
      <c r="CF194" s="19">
        <v>9</v>
      </c>
      <c r="CG194" s="3"/>
      <c r="CH194" s="3">
        <v>9</v>
      </c>
      <c r="CI194" s="3"/>
      <c r="CJ194" s="19">
        <v>9</v>
      </c>
      <c r="CK194" s="19">
        <v>9</v>
      </c>
      <c r="CL194" s="19">
        <v>7</v>
      </c>
      <c r="CM194" s="19">
        <v>8</v>
      </c>
      <c r="CN194" s="3" t="s">
        <v>1185</v>
      </c>
      <c r="CO194" s="3" t="s">
        <v>1185</v>
      </c>
      <c r="CP194" s="3" t="s">
        <v>1185</v>
      </c>
      <c r="CQ194" s="3" t="s">
        <v>1185</v>
      </c>
      <c r="CR194" s="3" t="s">
        <v>1185</v>
      </c>
      <c r="CS194" s="3" t="s">
        <v>1185</v>
      </c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R194" s="3"/>
    </row>
    <row r="195" spans="1:142" ht="15" customHeight="1" x14ac:dyDescent="0.25">
      <c r="A195" s="6" t="s">
        <v>334</v>
      </c>
      <c r="B195" s="2" t="s">
        <v>784</v>
      </c>
      <c r="C195" s="2" t="s">
        <v>1332</v>
      </c>
      <c r="D195" s="25" t="s">
        <v>1183</v>
      </c>
      <c r="E195" s="4" t="s">
        <v>1190</v>
      </c>
      <c r="F195" s="4" t="s">
        <v>1096</v>
      </c>
      <c r="G195" s="26">
        <v>1989</v>
      </c>
      <c r="H195" s="5"/>
      <c r="I195" s="5"/>
      <c r="J195" s="5"/>
      <c r="M195" s="5"/>
      <c r="N195" s="2" t="s">
        <v>1333</v>
      </c>
      <c r="O195" s="28" t="s">
        <v>2539</v>
      </c>
      <c r="P195" s="3"/>
      <c r="Q195" s="27">
        <v>2</v>
      </c>
      <c r="R195" s="3"/>
      <c r="S195" s="3">
        <v>1</v>
      </c>
      <c r="T195" s="3"/>
      <c r="U195" s="3">
        <v>9</v>
      </c>
      <c r="V195" s="3"/>
      <c r="W195" s="3">
        <v>4</v>
      </c>
      <c r="X195" s="3"/>
      <c r="Z195" s="3"/>
      <c r="AA195" s="3"/>
      <c r="AB195" s="3">
        <v>7</v>
      </c>
      <c r="AC195" s="3">
        <v>5</v>
      </c>
      <c r="AD195" s="3"/>
      <c r="AE195" s="3"/>
      <c r="AF195" s="3">
        <v>1</v>
      </c>
      <c r="AG195" s="3"/>
      <c r="AH195" s="3"/>
      <c r="AI195" s="3">
        <v>9</v>
      </c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>
        <v>9</v>
      </c>
      <c r="AX195" s="3"/>
      <c r="AY195" s="3">
        <v>9</v>
      </c>
      <c r="AZ195" s="3"/>
      <c r="BA195" s="3">
        <v>1</v>
      </c>
      <c r="BB195" s="3">
        <v>9</v>
      </c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>
        <v>9</v>
      </c>
      <c r="BN195" s="3"/>
      <c r="BO195" s="3"/>
      <c r="BP195" s="3"/>
      <c r="BQ195" s="3">
        <v>8</v>
      </c>
      <c r="BR195" s="3">
        <v>7</v>
      </c>
      <c r="BS195" s="3">
        <v>9</v>
      </c>
      <c r="BT195" s="19">
        <v>9</v>
      </c>
      <c r="BU195" s="3">
        <v>8</v>
      </c>
      <c r="BV195" s="19">
        <v>9</v>
      </c>
      <c r="BW195" s="19">
        <v>9</v>
      </c>
      <c r="BX195" s="19">
        <v>8</v>
      </c>
      <c r="BY195" s="19">
        <v>9</v>
      </c>
      <c r="BZ195" s="19">
        <v>8</v>
      </c>
      <c r="CA195" s="19">
        <v>8</v>
      </c>
      <c r="CB195" s="19">
        <v>7</v>
      </c>
      <c r="CC195" s="19">
        <v>9</v>
      </c>
      <c r="CD195" s="3">
        <v>9</v>
      </c>
      <c r="CE195" s="19">
        <v>9</v>
      </c>
      <c r="CF195" s="3">
        <v>7</v>
      </c>
      <c r="CG195" s="19">
        <v>5</v>
      </c>
      <c r="CH195" s="3">
        <v>9</v>
      </c>
      <c r="CI195" s="3">
        <v>9</v>
      </c>
      <c r="CJ195" s="3">
        <v>9</v>
      </c>
      <c r="CK195" s="3">
        <v>9</v>
      </c>
      <c r="CL195" s="3">
        <v>9</v>
      </c>
      <c r="CM195" s="3" t="s">
        <v>1185</v>
      </c>
      <c r="CN195" s="3" t="s">
        <v>1185</v>
      </c>
      <c r="CO195" s="3" t="s">
        <v>1185</v>
      </c>
      <c r="CP195" s="3" t="s">
        <v>1185</v>
      </c>
      <c r="CQ195" s="3" t="s">
        <v>1185</v>
      </c>
      <c r="CR195" s="3" t="s">
        <v>1185</v>
      </c>
      <c r="CS195" s="3" t="s">
        <v>1185</v>
      </c>
      <c r="CT195" s="3">
        <v>9</v>
      </c>
      <c r="CU195" s="3">
        <v>8</v>
      </c>
      <c r="CV195" s="3">
        <v>8</v>
      </c>
      <c r="CW195" s="3">
        <v>9</v>
      </c>
      <c r="CX195" s="3">
        <v>9</v>
      </c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R195" s="3"/>
    </row>
    <row r="196" spans="1:142" ht="15" customHeight="1" x14ac:dyDescent="0.25">
      <c r="A196" s="6" t="s">
        <v>335</v>
      </c>
      <c r="B196" s="2" t="s">
        <v>784</v>
      </c>
      <c r="C196" s="2" t="s">
        <v>1334</v>
      </c>
      <c r="D196" s="25" t="s">
        <v>1183</v>
      </c>
      <c r="E196" s="4" t="s">
        <v>1190</v>
      </c>
      <c r="F196" s="4" t="s">
        <v>1096</v>
      </c>
      <c r="G196" s="26">
        <v>1989</v>
      </c>
      <c r="H196" s="5"/>
      <c r="I196" s="5"/>
      <c r="J196" s="5"/>
      <c r="M196" s="5"/>
      <c r="N196" s="2" t="s">
        <v>1335</v>
      </c>
      <c r="O196" s="28" t="s">
        <v>2540</v>
      </c>
      <c r="P196" s="3"/>
      <c r="Q196" s="27">
        <v>2</v>
      </c>
      <c r="R196" s="3"/>
      <c r="S196" s="3">
        <v>1</v>
      </c>
      <c r="T196" s="3"/>
      <c r="U196" s="3">
        <v>9</v>
      </c>
      <c r="V196" s="3"/>
      <c r="W196" s="3">
        <v>3</v>
      </c>
      <c r="X196" s="3"/>
      <c r="Z196" s="3"/>
      <c r="AA196" s="3"/>
      <c r="AB196" s="3"/>
      <c r="AC196" s="3">
        <v>5</v>
      </c>
      <c r="AD196" s="3"/>
      <c r="AE196" s="3"/>
      <c r="AF196" s="3">
        <v>1</v>
      </c>
      <c r="AG196" s="3"/>
      <c r="AH196" s="3"/>
      <c r="AI196" s="3">
        <v>9</v>
      </c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>
        <v>9</v>
      </c>
      <c r="AX196" s="3"/>
      <c r="AY196" s="3">
        <v>9</v>
      </c>
      <c r="AZ196" s="3"/>
      <c r="BA196" s="3">
        <v>1</v>
      </c>
      <c r="BB196" s="3">
        <v>9</v>
      </c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>
        <v>9</v>
      </c>
      <c r="BN196" s="3">
        <v>3</v>
      </c>
      <c r="BO196" s="3"/>
      <c r="BP196" s="3"/>
      <c r="BQ196" s="3">
        <v>4</v>
      </c>
      <c r="BR196" s="3">
        <v>7</v>
      </c>
      <c r="BS196" s="3"/>
      <c r="BT196" s="19">
        <v>5</v>
      </c>
      <c r="BU196" s="3">
        <v>5</v>
      </c>
      <c r="BV196" s="19">
        <v>9</v>
      </c>
      <c r="BW196" s="19">
        <v>4</v>
      </c>
      <c r="BX196" s="19">
        <v>1</v>
      </c>
      <c r="BY196" s="19">
        <v>7</v>
      </c>
      <c r="BZ196" s="19">
        <v>8</v>
      </c>
      <c r="CA196" s="19">
        <v>8</v>
      </c>
      <c r="CB196" s="19">
        <v>9</v>
      </c>
      <c r="CC196" s="19">
        <v>5</v>
      </c>
      <c r="CD196" s="3">
        <v>7</v>
      </c>
      <c r="CE196" s="19">
        <v>9</v>
      </c>
      <c r="CF196" s="3">
        <v>9</v>
      </c>
      <c r="CG196" s="19">
        <v>9</v>
      </c>
      <c r="CH196" s="3">
        <v>7</v>
      </c>
      <c r="CI196" s="3">
        <v>9</v>
      </c>
      <c r="CJ196" s="3">
        <v>5</v>
      </c>
      <c r="CK196" s="3">
        <v>3</v>
      </c>
      <c r="CL196" s="3">
        <v>9</v>
      </c>
      <c r="CM196" s="3" t="s">
        <v>1185</v>
      </c>
      <c r="CN196" s="3" t="s">
        <v>1185</v>
      </c>
      <c r="CO196" s="3" t="s">
        <v>1185</v>
      </c>
      <c r="CP196" s="3"/>
      <c r="CQ196" s="3" t="s">
        <v>1185</v>
      </c>
      <c r="CR196" s="3" t="s">
        <v>1185</v>
      </c>
      <c r="CS196" s="3" t="s">
        <v>1185</v>
      </c>
      <c r="CT196" s="3">
        <v>5</v>
      </c>
      <c r="CU196" s="3">
        <v>7</v>
      </c>
      <c r="CV196" s="3">
        <v>9</v>
      </c>
      <c r="CW196" s="3">
        <v>9</v>
      </c>
      <c r="CX196" s="3">
        <v>1</v>
      </c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R196" s="3"/>
    </row>
    <row r="197" spans="1:142" ht="15" customHeight="1" x14ac:dyDescent="0.25">
      <c r="A197" s="6" t="s">
        <v>336</v>
      </c>
      <c r="B197" s="2" t="s">
        <v>784</v>
      </c>
      <c r="C197" s="2" t="s">
        <v>1336</v>
      </c>
      <c r="D197" s="25" t="s">
        <v>1183</v>
      </c>
      <c r="E197" s="4" t="s">
        <v>1190</v>
      </c>
      <c r="F197" s="4" t="s">
        <v>1086</v>
      </c>
      <c r="G197" s="26">
        <v>1989</v>
      </c>
      <c r="H197" s="5"/>
      <c r="I197" s="5"/>
      <c r="J197" s="5"/>
      <c r="M197" s="5"/>
      <c r="N197" s="2" t="s">
        <v>1337</v>
      </c>
      <c r="O197" s="28" t="s">
        <v>2541</v>
      </c>
      <c r="P197" s="3"/>
      <c r="Q197" s="27">
        <v>2</v>
      </c>
      <c r="R197" s="3"/>
      <c r="S197" s="3"/>
      <c r="T197" s="3"/>
      <c r="U197" s="3">
        <v>9</v>
      </c>
      <c r="V197" s="3"/>
      <c r="W197" s="3">
        <v>3</v>
      </c>
      <c r="X197" s="3"/>
      <c r="Z197" s="3"/>
      <c r="AA197" s="3"/>
      <c r="AB197" s="3">
        <v>7</v>
      </c>
      <c r="AC197" s="3">
        <v>5</v>
      </c>
      <c r="AD197" s="3"/>
      <c r="AE197" s="3"/>
      <c r="AF197" s="3">
        <v>1</v>
      </c>
      <c r="AG197" s="3"/>
      <c r="AH197" s="3"/>
      <c r="AI197" s="3">
        <v>9</v>
      </c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>
        <v>9</v>
      </c>
      <c r="AX197" s="3"/>
      <c r="AY197" s="3">
        <v>9</v>
      </c>
      <c r="AZ197" s="3"/>
      <c r="BA197" s="3">
        <v>1</v>
      </c>
      <c r="BB197" s="3">
        <v>9</v>
      </c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>
        <v>9</v>
      </c>
      <c r="BN197" s="3"/>
      <c r="BO197" s="3"/>
      <c r="BP197" s="3"/>
      <c r="BQ197" s="3">
        <v>4</v>
      </c>
      <c r="BR197" s="3">
        <v>3</v>
      </c>
      <c r="BS197" s="3"/>
      <c r="BT197" s="19">
        <v>3</v>
      </c>
      <c r="BU197" s="3">
        <v>1</v>
      </c>
      <c r="BV197" s="19">
        <v>5</v>
      </c>
      <c r="BW197" s="19">
        <v>5</v>
      </c>
      <c r="BX197" s="19">
        <v>3</v>
      </c>
      <c r="BY197" s="3"/>
      <c r="BZ197" s="19">
        <v>5</v>
      </c>
      <c r="CA197" s="19">
        <v>1</v>
      </c>
      <c r="CB197" s="19">
        <v>4</v>
      </c>
      <c r="CC197" s="19">
        <v>5</v>
      </c>
      <c r="CD197" s="3">
        <v>5</v>
      </c>
      <c r="CE197" s="19">
        <v>1</v>
      </c>
      <c r="CF197" s="19">
        <v>3</v>
      </c>
      <c r="CG197" s="3"/>
      <c r="CH197" s="3">
        <v>5</v>
      </c>
      <c r="CI197" s="3">
        <v>1</v>
      </c>
      <c r="CJ197" s="19">
        <v>3</v>
      </c>
      <c r="CK197" s="19">
        <v>5</v>
      </c>
      <c r="CL197" s="19">
        <v>2</v>
      </c>
      <c r="CM197" s="3" t="s">
        <v>1185</v>
      </c>
      <c r="CN197" s="3" t="s">
        <v>1185</v>
      </c>
      <c r="CO197" s="3" t="s">
        <v>1185</v>
      </c>
      <c r="CP197" s="3" t="s">
        <v>1185</v>
      </c>
      <c r="CQ197" s="3" t="s">
        <v>1185</v>
      </c>
      <c r="CR197" s="3" t="s">
        <v>1185</v>
      </c>
      <c r="CS197" s="3" t="s">
        <v>1185</v>
      </c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19">
        <v>9</v>
      </c>
      <c r="DR197" s="3"/>
      <c r="DY197" s="3"/>
      <c r="DZ197" s="3"/>
      <c r="EB197" s="3"/>
      <c r="EC197" s="3"/>
      <c r="ED197" s="3"/>
    </row>
    <row r="198" spans="1:142" ht="15" customHeight="1" x14ac:dyDescent="0.25">
      <c r="A198" s="6" t="s">
        <v>337</v>
      </c>
      <c r="B198" s="2" t="s">
        <v>784</v>
      </c>
      <c r="C198" s="2" t="s">
        <v>1338</v>
      </c>
      <c r="D198" s="25" t="s">
        <v>1183</v>
      </c>
      <c r="E198" s="4" t="s">
        <v>1190</v>
      </c>
      <c r="F198" s="4" t="s">
        <v>1086</v>
      </c>
      <c r="G198" s="26">
        <v>1989</v>
      </c>
      <c r="H198" s="5"/>
      <c r="I198" s="5"/>
      <c r="J198" s="5"/>
      <c r="M198" s="5"/>
      <c r="N198" s="2" t="s">
        <v>1339</v>
      </c>
      <c r="O198" s="28" t="s">
        <v>2542</v>
      </c>
      <c r="P198" s="3"/>
      <c r="Q198" s="27">
        <v>2</v>
      </c>
      <c r="R198" s="3"/>
      <c r="S198" s="3"/>
      <c r="T198" s="3"/>
      <c r="U198" s="3">
        <v>9</v>
      </c>
      <c r="V198" s="3"/>
      <c r="W198" s="3">
        <v>3</v>
      </c>
      <c r="X198" s="3"/>
      <c r="Z198" s="3"/>
      <c r="AA198" s="3"/>
      <c r="AB198" s="3">
        <v>7</v>
      </c>
      <c r="AC198" s="3">
        <v>5</v>
      </c>
      <c r="AD198" s="3"/>
      <c r="AE198" s="3"/>
      <c r="AF198" s="3">
        <v>1</v>
      </c>
      <c r="AG198" s="3"/>
      <c r="AH198" s="3"/>
      <c r="AI198" s="3">
        <v>9</v>
      </c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>
        <v>9</v>
      </c>
      <c r="AX198" s="3"/>
      <c r="AY198" s="3">
        <v>9</v>
      </c>
      <c r="AZ198" s="3"/>
      <c r="BA198" s="3">
        <v>1</v>
      </c>
      <c r="BB198" s="3">
        <v>9</v>
      </c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>
        <v>9</v>
      </c>
      <c r="BN198" s="3"/>
      <c r="BO198" s="3"/>
      <c r="BP198" s="3"/>
      <c r="BQ198" s="3">
        <v>8</v>
      </c>
      <c r="BR198" s="3">
        <v>7</v>
      </c>
      <c r="BS198" s="3"/>
      <c r="BT198" s="3"/>
      <c r="BU198" s="3">
        <v>9</v>
      </c>
      <c r="BV198" s="19">
        <v>7</v>
      </c>
      <c r="BW198" s="19">
        <v>9</v>
      </c>
      <c r="BX198" s="19">
        <v>1</v>
      </c>
      <c r="BY198" s="3"/>
      <c r="BZ198" s="19">
        <v>9</v>
      </c>
      <c r="CA198" s="19">
        <v>7</v>
      </c>
      <c r="CB198" s="19">
        <v>8</v>
      </c>
      <c r="CC198" s="19">
        <v>7</v>
      </c>
      <c r="CD198" s="3">
        <v>9</v>
      </c>
      <c r="CE198" s="19">
        <v>4</v>
      </c>
      <c r="CF198" s="19">
        <v>7</v>
      </c>
      <c r="CG198" s="3"/>
      <c r="CH198" s="3">
        <v>9</v>
      </c>
      <c r="CI198" s="3">
        <v>5</v>
      </c>
      <c r="CJ198" s="19">
        <v>8</v>
      </c>
      <c r="CK198" s="19">
        <v>9</v>
      </c>
      <c r="CL198" s="19">
        <v>7</v>
      </c>
      <c r="CM198" s="19">
        <v>8</v>
      </c>
      <c r="CN198" s="3" t="s">
        <v>1185</v>
      </c>
      <c r="CO198" s="3" t="s">
        <v>1185</v>
      </c>
      <c r="CP198" s="3" t="s">
        <v>1185</v>
      </c>
      <c r="CQ198" s="3" t="s">
        <v>1185</v>
      </c>
      <c r="CR198" s="3" t="s">
        <v>1185</v>
      </c>
      <c r="CS198" s="3" t="s">
        <v>1185</v>
      </c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19">
        <v>9</v>
      </c>
      <c r="DR198" s="3"/>
      <c r="DY198" s="3"/>
      <c r="DZ198" s="3"/>
    </row>
    <row r="199" spans="1:142" ht="15" customHeight="1" x14ac:dyDescent="0.25">
      <c r="A199" s="6" t="s">
        <v>338</v>
      </c>
      <c r="B199" s="2" t="s">
        <v>784</v>
      </c>
      <c r="C199" s="2" t="s">
        <v>1340</v>
      </c>
      <c r="D199" s="25" t="s">
        <v>1183</v>
      </c>
      <c r="E199" s="4" t="s">
        <v>1190</v>
      </c>
      <c r="F199" s="4" t="s">
        <v>1086</v>
      </c>
      <c r="G199" s="26">
        <v>1989</v>
      </c>
      <c r="H199" s="5"/>
      <c r="I199" s="5"/>
      <c r="J199" s="5"/>
      <c r="M199" s="5"/>
      <c r="N199" s="2" t="s">
        <v>1341</v>
      </c>
      <c r="O199" s="28" t="s">
        <v>2543</v>
      </c>
      <c r="P199" s="3"/>
      <c r="Q199" s="27">
        <v>2</v>
      </c>
      <c r="R199" s="3"/>
      <c r="S199" s="3">
        <v>1</v>
      </c>
      <c r="T199" s="3"/>
      <c r="U199" s="3">
        <v>9</v>
      </c>
      <c r="V199" s="3"/>
      <c r="W199" s="3">
        <v>3</v>
      </c>
      <c r="X199" s="3"/>
      <c r="Z199" s="3"/>
      <c r="AA199" s="3"/>
      <c r="AB199" s="3">
        <v>7</v>
      </c>
      <c r="AC199" s="3">
        <v>5</v>
      </c>
      <c r="AD199" s="3"/>
      <c r="AE199" s="3"/>
      <c r="AF199" s="3">
        <v>1</v>
      </c>
      <c r="AG199" s="3"/>
      <c r="AH199" s="3"/>
      <c r="AI199" s="3">
        <v>9</v>
      </c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>
        <v>9</v>
      </c>
      <c r="AX199" s="3"/>
      <c r="AY199" s="3">
        <v>9</v>
      </c>
      <c r="AZ199" s="3"/>
      <c r="BA199" s="3">
        <v>1</v>
      </c>
      <c r="BB199" s="3">
        <v>9</v>
      </c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>
        <v>9</v>
      </c>
      <c r="BN199" s="3"/>
      <c r="BO199" s="3"/>
      <c r="BP199" s="3"/>
      <c r="BQ199" s="3">
        <v>8</v>
      </c>
      <c r="BR199" s="3">
        <v>7</v>
      </c>
      <c r="BS199" s="3"/>
      <c r="BT199" s="19">
        <v>8</v>
      </c>
      <c r="BU199" s="3">
        <v>9</v>
      </c>
      <c r="BV199" s="19">
        <v>7</v>
      </c>
      <c r="BW199" s="19">
        <v>9</v>
      </c>
      <c r="BX199" s="19">
        <v>5</v>
      </c>
      <c r="BY199" s="3"/>
      <c r="BZ199" s="19">
        <v>9</v>
      </c>
      <c r="CA199" s="19">
        <v>2</v>
      </c>
      <c r="CB199" s="19">
        <v>8</v>
      </c>
      <c r="CC199" s="19">
        <v>7</v>
      </c>
      <c r="CD199" s="3">
        <v>9</v>
      </c>
      <c r="CE199" s="19">
        <v>8</v>
      </c>
      <c r="CF199" s="19">
        <v>9</v>
      </c>
      <c r="CG199" s="3"/>
      <c r="CH199" s="3">
        <v>9</v>
      </c>
      <c r="CI199" s="3">
        <v>4</v>
      </c>
      <c r="CJ199" s="19">
        <v>3</v>
      </c>
      <c r="CK199" s="19">
        <v>9</v>
      </c>
      <c r="CL199" s="19">
        <v>9</v>
      </c>
      <c r="CM199" s="3" t="s">
        <v>1185</v>
      </c>
      <c r="CN199" s="3" t="s">
        <v>1185</v>
      </c>
      <c r="CO199" s="3" t="s">
        <v>1185</v>
      </c>
      <c r="CP199" s="3"/>
      <c r="CQ199" s="3" t="s">
        <v>1185</v>
      </c>
      <c r="CR199" s="3" t="s">
        <v>1185</v>
      </c>
      <c r="CS199" s="3" t="s">
        <v>1185</v>
      </c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19">
        <v>9</v>
      </c>
      <c r="DR199" s="3"/>
      <c r="EA199" s="3"/>
    </row>
    <row r="200" spans="1:142" ht="15" customHeight="1" x14ac:dyDescent="0.25">
      <c r="A200" s="6" t="s">
        <v>339</v>
      </c>
      <c r="B200" s="2" t="s">
        <v>784</v>
      </c>
      <c r="C200" s="2" t="s">
        <v>1342</v>
      </c>
      <c r="D200" s="25" t="s">
        <v>1183</v>
      </c>
      <c r="E200" s="4" t="s">
        <v>1190</v>
      </c>
      <c r="F200" s="4" t="s">
        <v>1222</v>
      </c>
      <c r="G200" s="26">
        <v>1988</v>
      </c>
      <c r="H200" s="5"/>
      <c r="I200" s="5"/>
      <c r="J200" s="5"/>
      <c r="M200" s="5"/>
      <c r="N200" s="2" t="s">
        <v>1343</v>
      </c>
      <c r="O200" s="28" t="s">
        <v>2544</v>
      </c>
      <c r="P200" s="3"/>
      <c r="Q200" s="27">
        <v>2</v>
      </c>
      <c r="R200" s="3"/>
      <c r="S200" s="3"/>
      <c r="T200" s="3"/>
      <c r="U200" s="3"/>
      <c r="V200" s="3"/>
      <c r="W200" s="3">
        <v>3</v>
      </c>
      <c r="X200" s="3"/>
      <c r="Z200" s="3"/>
      <c r="AA200" s="3"/>
      <c r="AB200" s="3">
        <v>7</v>
      </c>
      <c r="AC200" s="3">
        <v>4</v>
      </c>
      <c r="AD200" s="3"/>
      <c r="AE200" s="3"/>
      <c r="AF200" s="3">
        <v>1</v>
      </c>
      <c r="AG200" s="3"/>
      <c r="AH200" s="3"/>
      <c r="AI200" s="3">
        <v>9</v>
      </c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>
        <v>9</v>
      </c>
      <c r="AX200" s="3"/>
      <c r="AY200" s="3">
        <v>1</v>
      </c>
      <c r="AZ200" s="3"/>
      <c r="BA200" s="3">
        <v>1</v>
      </c>
      <c r="BB200" s="3">
        <v>9</v>
      </c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>
        <v>9</v>
      </c>
      <c r="BN200" s="3"/>
      <c r="BO200" s="3"/>
      <c r="BP200" s="3"/>
      <c r="BQ200" s="3">
        <v>8</v>
      </c>
      <c r="BR200" s="3">
        <v>7</v>
      </c>
      <c r="BS200" s="3"/>
      <c r="BT200" s="19">
        <v>9</v>
      </c>
      <c r="BU200" s="3">
        <v>9</v>
      </c>
      <c r="BV200" s="19">
        <v>7</v>
      </c>
      <c r="BW200" s="19">
        <v>9</v>
      </c>
      <c r="BX200" s="19">
        <v>6</v>
      </c>
      <c r="BY200" s="3"/>
      <c r="BZ200" s="19">
        <v>9</v>
      </c>
      <c r="CA200" s="19">
        <v>9</v>
      </c>
      <c r="CB200" s="19">
        <v>8</v>
      </c>
      <c r="CC200" s="19">
        <v>9</v>
      </c>
      <c r="CD200" s="3">
        <v>9</v>
      </c>
      <c r="CE200" s="19">
        <v>8</v>
      </c>
      <c r="CF200" s="19">
        <v>9</v>
      </c>
      <c r="CG200" s="3"/>
      <c r="CH200" s="3">
        <v>9</v>
      </c>
      <c r="CI200" s="3">
        <v>8</v>
      </c>
      <c r="CJ200" s="19">
        <v>8</v>
      </c>
      <c r="CK200" s="19">
        <v>9</v>
      </c>
      <c r="CL200" s="19">
        <v>9</v>
      </c>
      <c r="CM200" s="19">
        <v>8</v>
      </c>
      <c r="CN200" s="3" t="s">
        <v>1185</v>
      </c>
      <c r="CO200" s="3" t="s">
        <v>1185</v>
      </c>
      <c r="CP200" s="3" t="s">
        <v>1185</v>
      </c>
      <c r="CQ200" s="3" t="s">
        <v>1185</v>
      </c>
      <c r="CR200" s="3" t="s">
        <v>1185</v>
      </c>
      <c r="CS200" s="3" t="s">
        <v>1185</v>
      </c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19">
        <v>1</v>
      </c>
      <c r="DR200" s="3"/>
    </row>
    <row r="201" spans="1:142" ht="15" customHeight="1" x14ac:dyDescent="0.25">
      <c r="A201" s="6" t="s">
        <v>340</v>
      </c>
      <c r="B201" s="2" t="s">
        <v>784</v>
      </c>
      <c r="C201" s="2" t="s">
        <v>1344</v>
      </c>
      <c r="D201" s="25" t="s">
        <v>1183</v>
      </c>
      <c r="E201" s="4" t="s">
        <v>1190</v>
      </c>
      <c r="F201" s="4" t="s">
        <v>1222</v>
      </c>
      <c r="G201" s="26">
        <v>1988</v>
      </c>
      <c r="H201" s="5"/>
      <c r="I201" s="5"/>
      <c r="J201" s="5"/>
      <c r="M201" s="5"/>
      <c r="N201" s="2" t="s">
        <v>1345</v>
      </c>
      <c r="O201" s="28" t="s">
        <v>2545</v>
      </c>
      <c r="P201" s="3"/>
      <c r="Q201" s="27">
        <v>2</v>
      </c>
      <c r="R201" s="3"/>
      <c r="S201" s="3"/>
      <c r="T201" s="3"/>
      <c r="U201" s="3"/>
      <c r="V201" s="3"/>
      <c r="W201" s="3">
        <v>4</v>
      </c>
      <c r="X201" s="3"/>
      <c r="Z201" s="3"/>
      <c r="AA201" s="3"/>
      <c r="AB201" s="3">
        <v>5</v>
      </c>
      <c r="AC201" s="3">
        <v>8</v>
      </c>
      <c r="AD201" s="3"/>
      <c r="AE201" s="3"/>
      <c r="AF201" s="3">
        <v>1</v>
      </c>
      <c r="AG201" s="3"/>
      <c r="AH201" s="3"/>
      <c r="AI201" s="3">
        <v>9</v>
      </c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>
        <v>9</v>
      </c>
      <c r="AX201" s="3"/>
      <c r="AY201" s="3">
        <v>1</v>
      </c>
      <c r="AZ201" s="3"/>
      <c r="BA201" s="3">
        <v>1</v>
      </c>
      <c r="BB201" s="3">
        <v>9</v>
      </c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>
        <v>9</v>
      </c>
      <c r="BN201" s="3"/>
      <c r="BO201" s="3"/>
      <c r="BP201" s="3"/>
      <c r="BQ201" s="3">
        <v>6</v>
      </c>
      <c r="BR201" s="3">
        <v>3</v>
      </c>
      <c r="BS201" s="3"/>
      <c r="BT201" s="19">
        <v>7</v>
      </c>
      <c r="BU201" s="3">
        <v>5</v>
      </c>
      <c r="BV201" s="19">
        <v>8</v>
      </c>
      <c r="BW201" s="19">
        <v>9</v>
      </c>
      <c r="BX201" s="19">
        <v>6</v>
      </c>
      <c r="BY201" s="3"/>
      <c r="BZ201" s="19">
        <v>9</v>
      </c>
      <c r="CA201" s="19">
        <v>2</v>
      </c>
      <c r="CB201" s="3"/>
      <c r="CC201" s="19">
        <v>5</v>
      </c>
      <c r="CD201" s="3">
        <v>5</v>
      </c>
      <c r="CE201" s="19">
        <v>7</v>
      </c>
      <c r="CF201" s="19">
        <v>5</v>
      </c>
      <c r="CG201" s="3"/>
      <c r="CH201" s="3">
        <v>9</v>
      </c>
      <c r="CI201" s="3">
        <v>4</v>
      </c>
      <c r="CJ201" s="19">
        <v>1</v>
      </c>
      <c r="CK201" s="19">
        <v>8</v>
      </c>
      <c r="CL201" s="3"/>
      <c r="CM201" s="19">
        <v>8</v>
      </c>
      <c r="CN201" s="3" t="s">
        <v>1185</v>
      </c>
      <c r="CO201" s="3" t="s">
        <v>1185</v>
      </c>
      <c r="CP201" s="3" t="s">
        <v>1185</v>
      </c>
      <c r="CQ201" s="3" t="s">
        <v>1185</v>
      </c>
      <c r="CR201" s="3" t="s">
        <v>1185</v>
      </c>
      <c r="CS201" s="3" t="s">
        <v>1185</v>
      </c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19">
        <v>9</v>
      </c>
      <c r="DR201" s="3"/>
    </row>
    <row r="202" spans="1:142" ht="15" customHeight="1" x14ac:dyDescent="0.25">
      <c r="A202" s="6" t="s">
        <v>341</v>
      </c>
      <c r="B202" s="2" t="s">
        <v>784</v>
      </c>
      <c r="C202" s="2" t="s">
        <v>1346</v>
      </c>
      <c r="D202" s="25" t="s">
        <v>1183</v>
      </c>
      <c r="E202" s="4" t="s">
        <v>1190</v>
      </c>
      <c r="F202" s="4" t="s">
        <v>1222</v>
      </c>
      <c r="G202" s="26">
        <v>1988</v>
      </c>
      <c r="H202" s="5"/>
      <c r="I202" s="5"/>
      <c r="J202" s="5"/>
      <c r="M202" s="5"/>
      <c r="N202" s="2" t="s">
        <v>1347</v>
      </c>
      <c r="O202" s="28" t="s">
        <v>2546</v>
      </c>
      <c r="P202" s="3"/>
      <c r="Q202" s="27">
        <v>2</v>
      </c>
      <c r="R202" s="3"/>
      <c r="S202" s="3"/>
      <c r="T202" s="3"/>
      <c r="U202" s="3"/>
      <c r="V202" s="3"/>
      <c r="W202" s="3">
        <v>4</v>
      </c>
      <c r="X202" s="3"/>
      <c r="Z202" s="3"/>
      <c r="AA202" s="3"/>
      <c r="AB202" s="3">
        <v>8</v>
      </c>
      <c r="AC202" s="3">
        <v>8</v>
      </c>
      <c r="AD202" s="3"/>
      <c r="AE202" s="3"/>
      <c r="AF202" s="3">
        <v>1</v>
      </c>
      <c r="AG202" s="3"/>
      <c r="AH202" s="3"/>
      <c r="AI202" s="3">
        <v>9</v>
      </c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>
        <v>9</v>
      </c>
      <c r="AX202" s="3"/>
      <c r="AY202" s="3">
        <v>1</v>
      </c>
      <c r="AZ202" s="3"/>
      <c r="BA202" s="3">
        <v>1</v>
      </c>
      <c r="BB202" s="3">
        <v>9</v>
      </c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>
        <v>9</v>
      </c>
      <c r="BN202" s="3"/>
      <c r="BO202" s="3"/>
      <c r="BP202" s="3"/>
      <c r="BQ202" s="3">
        <v>7</v>
      </c>
      <c r="BR202" s="3">
        <v>7</v>
      </c>
      <c r="BS202" s="3"/>
      <c r="BT202" s="19">
        <v>7</v>
      </c>
      <c r="BU202" s="3">
        <v>9</v>
      </c>
      <c r="BV202" s="19">
        <v>6</v>
      </c>
      <c r="BW202" s="19">
        <v>9</v>
      </c>
      <c r="BX202" s="19">
        <v>4</v>
      </c>
      <c r="BY202" s="3"/>
      <c r="BZ202" s="19">
        <v>9</v>
      </c>
      <c r="CA202" s="19">
        <v>7</v>
      </c>
      <c r="CB202" s="19">
        <v>8</v>
      </c>
      <c r="CC202" s="19">
        <v>7</v>
      </c>
      <c r="CD202" s="3">
        <v>9</v>
      </c>
      <c r="CE202" s="19">
        <v>6</v>
      </c>
      <c r="CF202" s="19">
        <v>7</v>
      </c>
      <c r="CG202" s="3"/>
      <c r="CH202" s="3">
        <v>9</v>
      </c>
      <c r="CI202" s="3">
        <v>8</v>
      </c>
      <c r="CJ202" s="19">
        <v>8</v>
      </c>
      <c r="CK202" s="19">
        <v>7</v>
      </c>
      <c r="CL202" s="19">
        <v>9</v>
      </c>
      <c r="CM202" s="19">
        <v>9</v>
      </c>
      <c r="CN202" s="3" t="s">
        <v>1185</v>
      </c>
      <c r="CO202" s="3" t="s">
        <v>1185</v>
      </c>
      <c r="CP202" s="3"/>
      <c r="CQ202" s="3" t="s">
        <v>1185</v>
      </c>
      <c r="CR202" s="3" t="s">
        <v>1185</v>
      </c>
      <c r="CS202" s="3" t="s">
        <v>1185</v>
      </c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19">
        <v>9</v>
      </c>
      <c r="DR202" s="3"/>
      <c r="EA202" s="3"/>
    </row>
    <row r="203" spans="1:142" ht="15" customHeight="1" x14ac:dyDescent="0.25">
      <c r="A203" s="6" t="s">
        <v>342</v>
      </c>
      <c r="B203" s="2" t="s">
        <v>784</v>
      </c>
      <c r="C203" s="2" t="s">
        <v>1348</v>
      </c>
      <c r="D203" s="25" t="s">
        <v>1183</v>
      </c>
      <c r="E203" s="4" t="s">
        <v>1190</v>
      </c>
      <c r="F203" s="4" t="s">
        <v>1222</v>
      </c>
      <c r="G203" s="26">
        <v>1988</v>
      </c>
      <c r="H203" s="5"/>
      <c r="I203" s="5"/>
      <c r="J203" s="5"/>
      <c r="M203" s="5"/>
      <c r="N203" s="2" t="s">
        <v>1349</v>
      </c>
      <c r="O203" s="28" t="s">
        <v>2547</v>
      </c>
      <c r="P203" s="3"/>
      <c r="Q203" s="27">
        <v>2</v>
      </c>
      <c r="R203" s="3"/>
      <c r="S203" s="3"/>
      <c r="T203" s="3"/>
      <c r="U203" s="3"/>
      <c r="V203" s="3"/>
      <c r="W203" s="3">
        <v>3</v>
      </c>
      <c r="X203" s="3"/>
      <c r="Z203" s="3"/>
      <c r="AA203" s="3"/>
      <c r="AB203" s="3">
        <v>8</v>
      </c>
      <c r="AC203" s="3">
        <v>8</v>
      </c>
      <c r="AD203" s="3"/>
      <c r="AE203" s="3"/>
      <c r="AF203" s="3">
        <v>1</v>
      </c>
      <c r="AG203" s="3"/>
      <c r="AH203" s="3"/>
      <c r="AI203" s="3">
        <v>9</v>
      </c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>
        <v>9</v>
      </c>
      <c r="AX203" s="3"/>
      <c r="AY203" s="3">
        <v>1</v>
      </c>
      <c r="AZ203" s="3"/>
      <c r="BA203" s="3">
        <v>1</v>
      </c>
      <c r="BB203" s="3">
        <v>9</v>
      </c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>
        <v>9</v>
      </c>
      <c r="BN203" s="3"/>
      <c r="BO203" s="3"/>
      <c r="BP203" s="3"/>
      <c r="BQ203" s="3">
        <v>8</v>
      </c>
      <c r="BR203" s="3">
        <v>6</v>
      </c>
      <c r="BS203" s="3"/>
      <c r="BT203" s="19">
        <v>8</v>
      </c>
      <c r="BU203" s="3">
        <v>9</v>
      </c>
      <c r="BV203" s="19">
        <v>6</v>
      </c>
      <c r="BW203" s="19">
        <v>9</v>
      </c>
      <c r="BX203" s="19">
        <v>6</v>
      </c>
      <c r="BY203" s="3"/>
      <c r="BZ203" s="19">
        <v>9</v>
      </c>
      <c r="CA203" s="19">
        <v>8</v>
      </c>
      <c r="CB203" s="19">
        <v>3</v>
      </c>
      <c r="CC203" s="19">
        <v>5</v>
      </c>
      <c r="CD203" s="3">
        <v>7</v>
      </c>
      <c r="CE203" s="19">
        <v>8</v>
      </c>
      <c r="CF203" s="19">
        <v>7</v>
      </c>
      <c r="CG203" s="3"/>
      <c r="CH203" s="3"/>
      <c r="CI203" s="3">
        <v>1</v>
      </c>
      <c r="CJ203" s="19">
        <v>8</v>
      </c>
      <c r="CK203" s="19">
        <v>6</v>
      </c>
      <c r="CL203" s="19">
        <v>9</v>
      </c>
      <c r="CM203" s="19">
        <v>4</v>
      </c>
      <c r="CN203" s="3" t="s">
        <v>1185</v>
      </c>
      <c r="CO203" s="3" t="s">
        <v>1185</v>
      </c>
      <c r="CP203" s="3"/>
      <c r="CQ203" s="3" t="s">
        <v>1185</v>
      </c>
      <c r="CR203" s="3" t="s">
        <v>1185</v>
      </c>
      <c r="CS203" s="3" t="s">
        <v>1185</v>
      </c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19">
        <v>9</v>
      </c>
      <c r="DR203" s="3"/>
      <c r="DU203" s="3"/>
      <c r="DV203" s="3"/>
      <c r="DW203" s="3"/>
      <c r="DX203" s="3"/>
    </row>
    <row r="204" spans="1:142" ht="15" customHeight="1" x14ac:dyDescent="0.25">
      <c r="A204" s="6" t="s">
        <v>343</v>
      </c>
      <c r="B204" s="2" t="s">
        <v>784</v>
      </c>
      <c r="C204" s="2" t="s">
        <v>1350</v>
      </c>
      <c r="D204" s="25" t="s">
        <v>1183</v>
      </c>
      <c r="E204" s="4" t="s">
        <v>1190</v>
      </c>
      <c r="F204" s="4" t="s">
        <v>1222</v>
      </c>
      <c r="G204" s="26">
        <v>1988</v>
      </c>
      <c r="H204" s="5"/>
      <c r="I204" s="5"/>
      <c r="J204" s="5"/>
      <c r="M204" s="5"/>
      <c r="N204" s="2" t="s">
        <v>1351</v>
      </c>
      <c r="O204" s="28" t="s">
        <v>2548</v>
      </c>
      <c r="P204" s="3"/>
      <c r="Q204" s="27">
        <v>2</v>
      </c>
      <c r="R204" s="3"/>
      <c r="S204" s="3"/>
      <c r="T204" s="3"/>
      <c r="U204" s="3"/>
      <c r="V204" s="3"/>
      <c r="W204" s="3">
        <v>4</v>
      </c>
      <c r="X204" s="3"/>
      <c r="Z204" s="3"/>
      <c r="AA204" s="3"/>
      <c r="AB204" s="3">
        <v>8</v>
      </c>
      <c r="AC204" s="3">
        <v>8</v>
      </c>
      <c r="AD204" s="3"/>
      <c r="AE204" s="3"/>
      <c r="AF204" s="3">
        <v>1</v>
      </c>
      <c r="AG204" s="3"/>
      <c r="AH204" s="3"/>
      <c r="AI204" s="3">
        <v>9</v>
      </c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>
        <v>9</v>
      </c>
      <c r="AX204" s="3"/>
      <c r="AY204" s="3">
        <v>1</v>
      </c>
      <c r="AZ204" s="3"/>
      <c r="BA204" s="3">
        <v>1</v>
      </c>
      <c r="BB204" s="3">
        <v>9</v>
      </c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>
        <v>9</v>
      </c>
      <c r="BN204" s="3"/>
      <c r="BO204" s="3"/>
      <c r="BP204" s="3"/>
      <c r="BQ204" s="3">
        <v>8</v>
      </c>
      <c r="BR204" s="3">
        <v>9</v>
      </c>
      <c r="BS204" s="3"/>
      <c r="BT204" s="19">
        <v>8</v>
      </c>
      <c r="BU204" s="3">
        <v>9</v>
      </c>
      <c r="BV204" s="19">
        <v>9</v>
      </c>
      <c r="BW204" s="19">
        <v>5</v>
      </c>
      <c r="BX204" s="19">
        <v>7</v>
      </c>
      <c r="BY204" s="3"/>
      <c r="BZ204" s="19">
        <v>9</v>
      </c>
      <c r="CA204" s="19">
        <v>5</v>
      </c>
      <c r="CB204" s="19">
        <v>6</v>
      </c>
      <c r="CC204" s="19">
        <v>7</v>
      </c>
      <c r="CD204" s="3">
        <v>9</v>
      </c>
      <c r="CE204" s="19">
        <v>8</v>
      </c>
      <c r="CF204" s="19">
        <v>9</v>
      </c>
      <c r="CG204" s="3"/>
      <c r="CH204" s="3">
        <v>9</v>
      </c>
      <c r="CI204" s="3"/>
      <c r="CJ204" s="19">
        <v>6</v>
      </c>
      <c r="CK204" s="19">
        <v>9</v>
      </c>
      <c r="CL204" s="19">
        <v>9</v>
      </c>
      <c r="CM204" s="3" t="s">
        <v>1185</v>
      </c>
      <c r="CN204" s="3" t="s">
        <v>1185</v>
      </c>
      <c r="CO204" s="3" t="s">
        <v>1185</v>
      </c>
      <c r="CP204" s="3" t="s">
        <v>1185</v>
      </c>
      <c r="CR204" s="3" t="s">
        <v>1185</v>
      </c>
      <c r="CS204" s="3" t="s">
        <v>1185</v>
      </c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19">
        <v>9</v>
      </c>
      <c r="DR204" s="3"/>
    </row>
    <row r="205" spans="1:142" ht="15" customHeight="1" x14ac:dyDescent="0.25">
      <c r="A205" s="6" t="s">
        <v>344</v>
      </c>
      <c r="B205" s="2" t="s">
        <v>784</v>
      </c>
      <c r="C205" s="2" t="s">
        <v>1352</v>
      </c>
      <c r="D205" s="25" t="s">
        <v>1183</v>
      </c>
      <c r="E205" s="4" t="s">
        <v>1190</v>
      </c>
      <c r="F205" s="4" t="s">
        <v>1222</v>
      </c>
      <c r="G205" s="26">
        <v>1988</v>
      </c>
      <c r="H205" s="5"/>
      <c r="I205" s="5"/>
      <c r="J205" s="5"/>
      <c r="M205" s="5"/>
      <c r="N205" s="2" t="s">
        <v>1353</v>
      </c>
      <c r="O205" s="28" t="s">
        <v>2549</v>
      </c>
      <c r="P205" s="3"/>
      <c r="Q205" s="27">
        <v>2</v>
      </c>
      <c r="R205" s="3"/>
      <c r="S205" s="3"/>
      <c r="T205" s="3"/>
      <c r="U205" s="3"/>
      <c r="V205" s="3"/>
      <c r="W205" s="3">
        <v>4</v>
      </c>
      <c r="X205" s="3"/>
      <c r="Z205" s="3"/>
      <c r="AA205" s="3"/>
      <c r="AB205" s="3">
        <v>8</v>
      </c>
      <c r="AC205" s="3">
        <v>8</v>
      </c>
      <c r="AD205" s="3"/>
      <c r="AE205" s="3"/>
      <c r="AF205" s="3">
        <v>1</v>
      </c>
      <c r="AG205" s="3"/>
      <c r="AH205" s="3"/>
      <c r="AI205" s="3">
        <v>9</v>
      </c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>
        <v>9</v>
      </c>
      <c r="AX205" s="3"/>
      <c r="AY205" s="3">
        <v>1</v>
      </c>
      <c r="AZ205" s="3"/>
      <c r="BA205" s="3">
        <v>1</v>
      </c>
      <c r="BB205" s="3">
        <v>9</v>
      </c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>
        <v>9</v>
      </c>
      <c r="BN205" s="3"/>
      <c r="BO205" s="3"/>
      <c r="BP205" s="3"/>
      <c r="BQ205" s="3"/>
      <c r="BR205" s="3">
        <v>9</v>
      </c>
      <c r="BS205" s="3">
        <v>1</v>
      </c>
      <c r="BT205" s="3">
        <v>2</v>
      </c>
      <c r="BU205" s="3">
        <v>2</v>
      </c>
      <c r="BV205" s="3">
        <v>1</v>
      </c>
      <c r="BW205" s="3">
        <v>2</v>
      </c>
      <c r="BX205" s="3">
        <v>1</v>
      </c>
      <c r="BY205" s="3">
        <v>1</v>
      </c>
      <c r="BZ205" s="3">
        <v>2</v>
      </c>
      <c r="CA205" s="3">
        <v>2</v>
      </c>
      <c r="CB205" s="3">
        <v>2</v>
      </c>
      <c r="CC205" s="3">
        <v>1</v>
      </c>
      <c r="CD205" s="3">
        <v>1</v>
      </c>
      <c r="CE205" s="19">
        <v>1</v>
      </c>
      <c r="CF205" s="19">
        <v>1</v>
      </c>
      <c r="CG205" s="3"/>
      <c r="CH205" s="3">
        <v>1</v>
      </c>
      <c r="CI205" s="3">
        <v>1</v>
      </c>
      <c r="CJ205" s="19">
        <v>1</v>
      </c>
      <c r="CK205" s="19">
        <v>9</v>
      </c>
      <c r="CL205" s="19">
        <v>9</v>
      </c>
      <c r="CM205" s="19">
        <v>3</v>
      </c>
      <c r="CN205" s="3" t="s">
        <v>1185</v>
      </c>
      <c r="CO205" s="3" t="s">
        <v>1185</v>
      </c>
      <c r="CP205" s="3"/>
      <c r="CQ205" s="3" t="s">
        <v>1185</v>
      </c>
      <c r="CR205" s="3" t="s">
        <v>1185</v>
      </c>
      <c r="CS205" s="3" t="s">
        <v>1185</v>
      </c>
      <c r="CT205" s="3"/>
      <c r="CU205" s="3"/>
      <c r="CV205" s="3"/>
      <c r="CW205" s="3"/>
      <c r="CX205" s="3"/>
      <c r="CY205" s="3"/>
      <c r="CZ205" s="3">
        <v>9</v>
      </c>
      <c r="DA205" s="3">
        <v>9</v>
      </c>
      <c r="DB205" s="3">
        <v>1</v>
      </c>
      <c r="DC205" s="3">
        <v>9</v>
      </c>
      <c r="DD205" s="3">
        <v>9</v>
      </c>
      <c r="DE205" s="3">
        <v>1</v>
      </c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R205" s="3"/>
      <c r="DU205" s="3"/>
      <c r="DV205" s="3"/>
      <c r="DW205" s="3"/>
    </row>
    <row r="206" spans="1:142" ht="15" customHeight="1" x14ac:dyDescent="0.25">
      <c r="A206" s="6" t="s">
        <v>345</v>
      </c>
      <c r="B206" s="2" t="s">
        <v>784</v>
      </c>
      <c r="C206" s="2" t="s">
        <v>1354</v>
      </c>
      <c r="D206" s="25" t="s">
        <v>1183</v>
      </c>
      <c r="E206" s="4" t="s">
        <v>1190</v>
      </c>
      <c r="F206" s="4" t="s">
        <v>1222</v>
      </c>
      <c r="G206" s="26">
        <v>1988</v>
      </c>
      <c r="H206" s="5"/>
      <c r="I206" s="5"/>
      <c r="J206" s="5"/>
      <c r="M206" s="5"/>
      <c r="N206" s="2" t="s">
        <v>1355</v>
      </c>
      <c r="O206" s="28" t="s">
        <v>2550</v>
      </c>
      <c r="P206" s="3"/>
      <c r="Q206" s="27">
        <v>1</v>
      </c>
      <c r="R206" s="3"/>
      <c r="S206" s="3"/>
      <c r="T206" s="3"/>
      <c r="U206" s="3"/>
      <c r="V206" s="3"/>
      <c r="W206" s="3"/>
      <c r="X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>
        <v>1</v>
      </c>
      <c r="BO206" s="3"/>
      <c r="BP206" s="3"/>
      <c r="BQ206" s="3">
        <v>1</v>
      </c>
      <c r="BR206" s="3">
        <v>1</v>
      </c>
      <c r="BS206" s="3">
        <v>1</v>
      </c>
      <c r="BT206" s="3">
        <v>1</v>
      </c>
      <c r="BU206" s="3">
        <v>1</v>
      </c>
      <c r="BV206" s="3">
        <v>1</v>
      </c>
      <c r="BW206" s="3">
        <v>1</v>
      </c>
      <c r="BX206" s="3">
        <v>1</v>
      </c>
      <c r="BY206" s="3">
        <v>1</v>
      </c>
      <c r="BZ206" s="3">
        <v>1</v>
      </c>
      <c r="CA206" s="3">
        <v>1</v>
      </c>
      <c r="CB206" s="3">
        <v>1</v>
      </c>
      <c r="CC206" s="3">
        <v>1</v>
      </c>
      <c r="CD206" s="3">
        <v>1</v>
      </c>
      <c r="CE206" s="3"/>
      <c r="CF206" s="3"/>
      <c r="CG206" s="3"/>
      <c r="CH206" s="3"/>
      <c r="CI206" s="3"/>
      <c r="CJ206" s="3"/>
      <c r="CK206" s="3"/>
      <c r="CL206" s="3"/>
      <c r="CM206" s="3" t="s">
        <v>1185</v>
      </c>
      <c r="CN206" s="3" t="s">
        <v>1185</v>
      </c>
      <c r="CO206" s="3" t="s">
        <v>1185</v>
      </c>
      <c r="CP206" s="3" t="s">
        <v>1185</v>
      </c>
      <c r="CQ206" s="3" t="s">
        <v>1185</v>
      </c>
      <c r="CR206" s="3" t="s">
        <v>1185</v>
      </c>
      <c r="CS206" s="3" t="s">
        <v>1185</v>
      </c>
      <c r="CT206" s="3"/>
      <c r="CU206" s="3"/>
      <c r="CV206" s="3"/>
      <c r="CW206" s="3"/>
      <c r="CX206" s="3"/>
      <c r="CY206" s="3"/>
      <c r="CZ206" s="3">
        <v>9</v>
      </c>
      <c r="DA206" s="3">
        <v>9</v>
      </c>
      <c r="DB206" s="3">
        <v>1</v>
      </c>
      <c r="DC206" s="3">
        <v>9</v>
      </c>
      <c r="DD206" s="3">
        <v>9</v>
      </c>
      <c r="DE206" s="3">
        <v>1</v>
      </c>
      <c r="DF206" s="3">
        <v>1</v>
      </c>
      <c r="DG206" s="3">
        <v>1</v>
      </c>
      <c r="DH206" s="3">
        <v>1</v>
      </c>
      <c r="DI206" s="3">
        <v>1</v>
      </c>
      <c r="DJ206" s="3">
        <v>1</v>
      </c>
      <c r="DK206" s="3">
        <v>1</v>
      </c>
      <c r="DL206" s="3">
        <v>1</v>
      </c>
      <c r="DM206" s="3">
        <v>1</v>
      </c>
      <c r="DN206" s="3">
        <v>3</v>
      </c>
      <c r="DO206" s="3">
        <v>1</v>
      </c>
      <c r="DP206" s="3"/>
      <c r="DQ206" s="19">
        <v>9</v>
      </c>
      <c r="DR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</row>
    <row r="207" spans="1:142" ht="15" customHeight="1" x14ac:dyDescent="0.25">
      <c r="A207" s="6" t="s">
        <v>346</v>
      </c>
      <c r="B207" s="2" t="s">
        <v>784</v>
      </c>
      <c r="C207" s="2" t="s">
        <v>1356</v>
      </c>
      <c r="D207" s="25" t="s">
        <v>1183</v>
      </c>
      <c r="E207" s="4" t="s">
        <v>1190</v>
      </c>
      <c r="F207" s="4" t="s">
        <v>1222</v>
      </c>
      <c r="G207" s="26">
        <v>1988</v>
      </c>
      <c r="H207" s="5"/>
      <c r="I207" s="5"/>
      <c r="J207" s="5"/>
      <c r="M207" s="5"/>
      <c r="N207" s="2" t="s">
        <v>1357</v>
      </c>
      <c r="O207" s="28" t="s">
        <v>2551</v>
      </c>
      <c r="P207" s="3"/>
      <c r="Q207" s="27">
        <v>2</v>
      </c>
      <c r="R207" s="3"/>
      <c r="S207" s="3"/>
      <c r="T207" s="3"/>
      <c r="U207" s="3"/>
      <c r="V207" s="3"/>
      <c r="W207" s="3">
        <v>4</v>
      </c>
      <c r="X207" s="3"/>
      <c r="Z207" s="3"/>
      <c r="AA207" s="3"/>
      <c r="AB207" s="3">
        <v>8</v>
      </c>
      <c r="AC207" s="3">
        <v>8</v>
      </c>
      <c r="AD207" s="3"/>
      <c r="AE207" s="3"/>
      <c r="AF207" s="3">
        <v>1</v>
      </c>
      <c r="AG207" s="3"/>
      <c r="AH207" s="3"/>
      <c r="AI207" s="3">
        <v>9</v>
      </c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>
        <v>9</v>
      </c>
      <c r="AX207" s="3"/>
      <c r="AY207" s="3">
        <v>1</v>
      </c>
      <c r="AZ207" s="3"/>
      <c r="BA207" s="3">
        <v>1</v>
      </c>
      <c r="BB207" s="3">
        <v>9</v>
      </c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>
        <v>9</v>
      </c>
      <c r="BN207" s="3">
        <v>4</v>
      </c>
      <c r="BO207" s="3"/>
      <c r="BP207" s="3"/>
      <c r="BQ207" s="3">
        <v>1</v>
      </c>
      <c r="BR207" s="3">
        <v>8</v>
      </c>
      <c r="BS207" s="3">
        <v>1</v>
      </c>
      <c r="BT207" s="3">
        <v>1</v>
      </c>
      <c r="BU207" s="3">
        <v>2</v>
      </c>
      <c r="BV207" s="3">
        <v>1</v>
      </c>
      <c r="BW207" s="3">
        <v>2</v>
      </c>
      <c r="BX207" s="3">
        <v>1</v>
      </c>
      <c r="BY207" s="3">
        <v>1</v>
      </c>
      <c r="BZ207" s="3">
        <v>1</v>
      </c>
      <c r="CA207" s="3">
        <v>1</v>
      </c>
      <c r="CB207" s="3">
        <v>2</v>
      </c>
      <c r="CC207" s="3">
        <v>1</v>
      </c>
      <c r="CD207" s="3">
        <v>1</v>
      </c>
      <c r="CE207" s="19">
        <v>1</v>
      </c>
      <c r="CF207" s="19">
        <v>1</v>
      </c>
      <c r="CG207" s="3"/>
      <c r="CH207" s="3">
        <v>1</v>
      </c>
      <c r="CI207" s="3">
        <v>1</v>
      </c>
      <c r="CJ207" s="19">
        <v>1</v>
      </c>
      <c r="CK207" s="19">
        <v>8</v>
      </c>
      <c r="CL207" s="19">
        <v>9</v>
      </c>
      <c r="CM207" s="3" t="s">
        <v>1185</v>
      </c>
      <c r="CN207" s="3"/>
      <c r="CO207" s="3" t="s">
        <v>1185</v>
      </c>
      <c r="CP207" s="3"/>
      <c r="CR207" s="3" t="s">
        <v>1185</v>
      </c>
      <c r="CS207" s="3" t="s">
        <v>1185</v>
      </c>
      <c r="CT207" s="3"/>
      <c r="CU207" s="3"/>
      <c r="CV207" s="3"/>
      <c r="CW207" s="3"/>
      <c r="CX207" s="3"/>
      <c r="CY207" s="3"/>
      <c r="CZ207" s="3">
        <v>9</v>
      </c>
      <c r="DA207" s="3">
        <v>9</v>
      </c>
      <c r="DB207" s="3">
        <v>1</v>
      </c>
      <c r="DC207" s="3">
        <v>9</v>
      </c>
      <c r="DD207" s="3">
        <v>9</v>
      </c>
      <c r="DE207" s="3">
        <v>1</v>
      </c>
      <c r="DF207" s="3"/>
      <c r="DG207" s="3"/>
      <c r="DH207" s="3"/>
      <c r="DI207" s="3"/>
      <c r="DJ207" s="3"/>
      <c r="DK207" s="3"/>
      <c r="DL207" s="3">
        <v>2</v>
      </c>
      <c r="DM207" s="3">
        <v>1</v>
      </c>
      <c r="DN207" s="3">
        <v>2</v>
      </c>
      <c r="DO207" s="3">
        <v>2</v>
      </c>
      <c r="DP207" s="3"/>
      <c r="DR207" s="3"/>
    </row>
    <row r="208" spans="1:142" ht="15" customHeight="1" x14ac:dyDescent="0.25">
      <c r="A208" s="6" t="s">
        <v>347</v>
      </c>
      <c r="B208" s="2" t="s">
        <v>784</v>
      </c>
      <c r="C208" s="2" t="s">
        <v>1358</v>
      </c>
      <c r="D208" s="25" t="s">
        <v>1183</v>
      </c>
      <c r="E208" s="4" t="s">
        <v>1190</v>
      </c>
      <c r="F208" s="4" t="s">
        <v>1222</v>
      </c>
      <c r="G208" s="26">
        <v>1988</v>
      </c>
      <c r="H208" s="5"/>
      <c r="I208" s="5"/>
      <c r="J208" s="5"/>
      <c r="M208" s="5"/>
      <c r="N208" s="2" t="s">
        <v>1359</v>
      </c>
      <c r="O208" s="28" t="s">
        <v>2552</v>
      </c>
      <c r="P208" s="3"/>
      <c r="Q208" s="27">
        <v>2</v>
      </c>
      <c r="R208" s="3"/>
      <c r="S208" s="3"/>
      <c r="T208" s="3"/>
      <c r="U208" s="3"/>
      <c r="V208" s="3"/>
      <c r="W208" s="3">
        <v>4</v>
      </c>
      <c r="X208" s="3"/>
      <c r="Z208" s="3"/>
      <c r="AA208" s="3"/>
      <c r="AB208" s="3">
        <v>7</v>
      </c>
      <c r="AC208" s="3">
        <v>8</v>
      </c>
      <c r="AD208" s="3"/>
      <c r="AE208" s="3"/>
      <c r="AF208" s="3">
        <v>1</v>
      </c>
      <c r="AG208" s="3"/>
      <c r="AH208" s="3"/>
      <c r="AI208" s="3">
        <v>9</v>
      </c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>
        <v>9</v>
      </c>
      <c r="AX208" s="3"/>
      <c r="AY208" s="3">
        <v>1</v>
      </c>
      <c r="AZ208" s="3"/>
      <c r="BA208" s="3">
        <v>1</v>
      </c>
      <c r="BB208" s="3">
        <v>9</v>
      </c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>
        <v>1</v>
      </c>
      <c r="BR208" s="3">
        <v>9</v>
      </c>
      <c r="BS208" s="3">
        <v>1</v>
      </c>
      <c r="BT208" s="3">
        <v>1</v>
      </c>
      <c r="BU208" s="3">
        <v>1</v>
      </c>
      <c r="BV208" s="3">
        <v>1</v>
      </c>
      <c r="BW208" s="3">
        <v>1</v>
      </c>
      <c r="BX208" s="3">
        <v>1</v>
      </c>
      <c r="BY208" s="3">
        <v>1</v>
      </c>
      <c r="BZ208" s="3">
        <v>1</v>
      </c>
      <c r="CA208" s="3">
        <v>1</v>
      </c>
      <c r="CB208" s="3">
        <v>1</v>
      </c>
      <c r="CC208" s="3">
        <v>1</v>
      </c>
      <c r="CD208" s="3">
        <v>1</v>
      </c>
      <c r="CE208" s="3"/>
      <c r="CF208" s="3"/>
      <c r="CG208" s="3"/>
      <c r="CH208" s="3"/>
      <c r="CI208" s="3"/>
      <c r="CJ208" s="3"/>
      <c r="CK208" s="3"/>
      <c r="CL208" s="3"/>
      <c r="CM208" s="3" t="s">
        <v>1185</v>
      </c>
      <c r="CN208" s="3" t="s">
        <v>1185</v>
      </c>
      <c r="CO208" s="3" t="s">
        <v>1185</v>
      </c>
      <c r="CP208" s="3" t="s">
        <v>1185</v>
      </c>
      <c r="CQ208" s="3" t="s">
        <v>1185</v>
      </c>
      <c r="CR208" s="3" t="s">
        <v>1185</v>
      </c>
      <c r="CS208" s="3" t="s">
        <v>1185</v>
      </c>
      <c r="CT208" s="3"/>
      <c r="CU208" s="3"/>
      <c r="CV208" s="3"/>
      <c r="CW208" s="3"/>
      <c r="CX208" s="3"/>
      <c r="CY208" s="3"/>
      <c r="CZ208" s="3">
        <v>9</v>
      </c>
      <c r="DA208" s="3">
        <v>9</v>
      </c>
      <c r="DB208" s="3">
        <v>1</v>
      </c>
      <c r="DC208" s="3">
        <v>9</v>
      </c>
      <c r="DD208" s="3">
        <v>9</v>
      </c>
      <c r="DE208" s="3">
        <v>1</v>
      </c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R208" s="3"/>
      <c r="EE208" s="3"/>
      <c r="EF208" s="3"/>
      <c r="EG208" s="3"/>
      <c r="EH208" s="3"/>
      <c r="EI208" s="3"/>
      <c r="EJ208" s="3"/>
      <c r="EK208" s="3"/>
      <c r="EL208" s="3"/>
    </row>
    <row r="209" spans="1:142" ht="15" customHeight="1" x14ac:dyDescent="0.25">
      <c r="A209" s="6" t="s">
        <v>348</v>
      </c>
      <c r="B209" s="2" t="s">
        <v>784</v>
      </c>
      <c r="C209" s="2" t="s">
        <v>1360</v>
      </c>
      <c r="D209" s="25" t="s">
        <v>1183</v>
      </c>
      <c r="E209" s="4" t="s">
        <v>1190</v>
      </c>
      <c r="F209" s="4" t="s">
        <v>1222</v>
      </c>
      <c r="G209" s="26">
        <v>1988</v>
      </c>
      <c r="H209" s="5"/>
      <c r="I209" s="5"/>
      <c r="J209" s="5"/>
      <c r="M209" s="5"/>
      <c r="N209" s="2" t="s">
        <v>1361</v>
      </c>
      <c r="O209" s="28" t="s">
        <v>2553</v>
      </c>
      <c r="P209" s="3"/>
      <c r="Q209" s="27">
        <v>2</v>
      </c>
      <c r="R209" s="3"/>
      <c r="S209" s="3"/>
      <c r="T209" s="3"/>
      <c r="U209" s="3"/>
      <c r="V209" s="3"/>
      <c r="W209" s="3">
        <v>4</v>
      </c>
      <c r="X209" s="3"/>
      <c r="Z209" s="3"/>
      <c r="AA209" s="3"/>
      <c r="AB209" s="3">
        <v>8</v>
      </c>
      <c r="AC209" s="3">
        <v>5</v>
      </c>
      <c r="AD209" s="3"/>
      <c r="AE209" s="3"/>
      <c r="AF209" s="3">
        <v>1</v>
      </c>
      <c r="AG209" s="3"/>
      <c r="AH209" s="3"/>
      <c r="AI209" s="3">
        <v>9</v>
      </c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>
        <v>9</v>
      </c>
      <c r="AX209" s="3"/>
      <c r="AY209" s="3">
        <v>1</v>
      </c>
      <c r="AZ209" s="3"/>
      <c r="BA209" s="3">
        <v>1</v>
      </c>
      <c r="BB209" s="3">
        <v>9</v>
      </c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>
        <v>9</v>
      </c>
      <c r="BN209" s="3"/>
      <c r="BO209" s="3"/>
      <c r="BP209" s="3"/>
      <c r="BQ209" s="3">
        <v>1</v>
      </c>
      <c r="BR209" s="3">
        <v>1</v>
      </c>
      <c r="BS209" s="3">
        <v>1</v>
      </c>
      <c r="BT209" s="3">
        <v>1</v>
      </c>
      <c r="BU209" s="3">
        <v>1</v>
      </c>
      <c r="BV209" s="3">
        <v>1</v>
      </c>
      <c r="BW209" s="3">
        <v>1</v>
      </c>
      <c r="BX209" s="3">
        <v>1</v>
      </c>
      <c r="BY209" s="3">
        <v>1</v>
      </c>
      <c r="BZ209" s="3">
        <v>1</v>
      </c>
      <c r="CA209" s="3">
        <v>1</v>
      </c>
      <c r="CB209" s="3">
        <v>1</v>
      </c>
      <c r="CC209" s="3">
        <v>1</v>
      </c>
      <c r="CD209" s="3">
        <v>1</v>
      </c>
      <c r="CE209" s="19">
        <v>1</v>
      </c>
      <c r="CF209" s="3">
        <v>1</v>
      </c>
      <c r="CG209" s="3"/>
      <c r="CH209" s="3">
        <v>1</v>
      </c>
      <c r="CI209" s="3">
        <v>1</v>
      </c>
      <c r="CJ209" s="3">
        <v>1</v>
      </c>
      <c r="CK209" s="3">
        <v>3</v>
      </c>
      <c r="CL209" s="3">
        <v>1</v>
      </c>
      <c r="CM209" s="19">
        <v>1</v>
      </c>
      <c r="CN209" s="3" t="s">
        <v>1185</v>
      </c>
      <c r="CO209" s="3" t="s">
        <v>1185</v>
      </c>
      <c r="CP209" s="3" t="s">
        <v>1185</v>
      </c>
      <c r="CR209" s="3" t="s">
        <v>1185</v>
      </c>
      <c r="CS209" s="3" t="s">
        <v>1185</v>
      </c>
      <c r="CT209" s="3">
        <v>1</v>
      </c>
      <c r="CU209" s="3">
        <v>1</v>
      </c>
      <c r="CV209" s="3">
        <v>1</v>
      </c>
      <c r="CW209" s="3">
        <v>1</v>
      </c>
      <c r="CX209" s="3">
        <v>1</v>
      </c>
      <c r="CY209" s="3"/>
      <c r="CZ209" s="3">
        <v>9</v>
      </c>
      <c r="DA209" s="3">
        <v>9</v>
      </c>
      <c r="DB209" s="3">
        <v>1</v>
      </c>
      <c r="DC209" s="3">
        <v>9</v>
      </c>
      <c r="DD209" s="3">
        <v>9</v>
      </c>
      <c r="DE209" s="3">
        <v>1</v>
      </c>
      <c r="DF209" s="3">
        <v>1</v>
      </c>
      <c r="DG209" s="3">
        <v>1</v>
      </c>
      <c r="DH209" s="3">
        <v>1</v>
      </c>
      <c r="DI209" s="3">
        <v>1</v>
      </c>
      <c r="DJ209" s="3">
        <v>1</v>
      </c>
      <c r="DK209" s="3">
        <v>1</v>
      </c>
      <c r="DL209" s="3"/>
      <c r="DM209" s="3"/>
      <c r="DN209" s="3"/>
      <c r="DO209" s="3"/>
      <c r="DP209" s="3"/>
      <c r="DQ209" s="19">
        <v>9</v>
      </c>
      <c r="DR209" s="3"/>
      <c r="DU209" s="3"/>
      <c r="DV209" s="3"/>
      <c r="DW209" s="3"/>
      <c r="EE209" s="3"/>
      <c r="EF209" s="3"/>
      <c r="EG209" s="3"/>
      <c r="EH209" s="3"/>
      <c r="EI209" s="3"/>
      <c r="EJ209" s="3"/>
      <c r="EK209" s="3"/>
      <c r="EL209" s="3"/>
    </row>
    <row r="210" spans="1:142" ht="15" customHeight="1" x14ac:dyDescent="0.25">
      <c r="A210" s="6" t="s">
        <v>349</v>
      </c>
      <c r="B210" s="2" t="s">
        <v>784</v>
      </c>
      <c r="C210" s="2" t="s">
        <v>1362</v>
      </c>
      <c r="D210" s="25" t="s">
        <v>1183</v>
      </c>
      <c r="E210" s="4" t="s">
        <v>1190</v>
      </c>
      <c r="F210" s="4" t="s">
        <v>1222</v>
      </c>
      <c r="G210" s="26">
        <v>1988</v>
      </c>
      <c r="H210" s="5"/>
      <c r="I210" s="5"/>
      <c r="J210" s="5"/>
      <c r="M210" s="5"/>
      <c r="N210" s="2" t="s">
        <v>1363</v>
      </c>
      <c r="O210" s="28" t="s">
        <v>2554</v>
      </c>
      <c r="P210" s="3"/>
      <c r="Q210" s="27">
        <v>1</v>
      </c>
      <c r="R210" s="3"/>
      <c r="S210" s="3"/>
      <c r="T210" s="3"/>
      <c r="U210" s="3"/>
      <c r="V210" s="3"/>
      <c r="W210" s="3"/>
      <c r="X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>
        <v>1</v>
      </c>
      <c r="BR210" s="3">
        <v>7</v>
      </c>
      <c r="BS210" s="3">
        <v>1</v>
      </c>
      <c r="BT210" s="3">
        <v>1</v>
      </c>
      <c r="BU210" s="3">
        <v>1</v>
      </c>
      <c r="BV210" s="3">
        <v>1</v>
      </c>
      <c r="BW210" s="3">
        <v>1</v>
      </c>
      <c r="BX210" s="3">
        <v>1</v>
      </c>
      <c r="BY210" s="3">
        <v>1</v>
      </c>
      <c r="BZ210" s="3">
        <v>1</v>
      </c>
      <c r="CA210" s="3">
        <v>1</v>
      </c>
      <c r="CB210" s="3">
        <v>1</v>
      </c>
      <c r="CC210" s="3">
        <v>1</v>
      </c>
      <c r="CD210" s="3">
        <v>1</v>
      </c>
      <c r="CE210" s="3"/>
      <c r="CF210" s="3"/>
      <c r="CG210" s="3"/>
      <c r="CH210" s="3"/>
      <c r="CI210" s="3"/>
      <c r="CJ210" s="3"/>
      <c r="CK210" s="3"/>
      <c r="CL210" s="3"/>
      <c r="CM210" s="3" t="s">
        <v>1185</v>
      </c>
      <c r="CN210" s="3" t="s">
        <v>1185</v>
      </c>
      <c r="CO210" s="3" t="s">
        <v>1185</v>
      </c>
      <c r="CP210" s="3" t="s">
        <v>1185</v>
      </c>
      <c r="CQ210" s="3" t="s">
        <v>1185</v>
      </c>
      <c r="CR210" s="3" t="s">
        <v>1185</v>
      </c>
      <c r="CS210" s="3" t="s">
        <v>1185</v>
      </c>
      <c r="CT210" s="3"/>
      <c r="CU210" s="3"/>
      <c r="CV210" s="3"/>
      <c r="CW210" s="3"/>
      <c r="CX210" s="3"/>
      <c r="CY210" s="3"/>
      <c r="CZ210" s="3">
        <v>9</v>
      </c>
      <c r="DA210" s="3">
        <v>9</v>
      </c>
      <c r="DB210" s="3">
        <v>1</v>
      </c>
      <c r="DC210" s="3">
        <v>9</v>
      </c>
      <c r="DD210" s="3">
        <v>9</v>
      </c>
      <c r="DE210" s="3">
        <v>1</v>
      </c>
      <c r="DF210" s="3"/>
      <c r="DG210" s="3"/>
      <c r="DH210" s="3"/>
      <c r="DI210" s="3"/>
      <c r="DJ210" s="3"/>
      <c r="DK210" s="3"/>
      <c r="DL210" s="3">
        <v>1</v>
      </c>
      <c r="DM210" s="3">
        <v>1</v>
      </c>
      <c r="DN210" s="3">
        <v>1</v>
      </c>
      <c r="DO210" s="3">
        <v>1</v>
      </c>
      <c r="DP210" s="3"/>
      <c r="DR210" s="3"/>
      <c r="DU210" s="3"/>
      <c r="DX210" s="3"/>
    </row>
    <row r="211" spans="1:142" ht="15" customHeight="1" x14ac:dyDescent="0.25">
      <c r="A211" s="6" t="s">
        <v>350</v>
      </c>
      <c r="B211" s="2" t="s">
        <v>784</v>
      </c>
      <c r="C211" s="2" t="s">
        <v>1364</v>
      </c>
      <c r="D211" s="25" t="s">
        <v>1183</v>
      </c>
      <c r="E211" s="4" t="s">
        <v>1190</v>
      </c>
      <c r="F211" s="4" t="s">
        <v>1222</v>
      </c>
      <c r="G211" s="26">
        <v>1988</v>
      </c>
      <c r="H211" s="5"/>
      <c r="I211" s="5"/>
      <c r="J211" s="5"/>
      <c r="M211" s="5"/>
      <c r="N211" s="2" t="s">
        <v>1365</v>
      </c>
      <c r="O211" s="28" t="s">
        <v>2555</v>
      </c>
      <c r="P211" s="3"/>
      <c r="Q211" s="27">
        <v>2</v>
      </c>
      <c r="R211" s="3"/>
      <c r="S211" s="3"/>
      <c r="T211" s="3"/>
      <c r="U211" s="3"/>
      <c r="V211" s="3"/>
      <c r="W211" s="3">
        <v>4</v>
      </c>
      <c r="X211" s="3"/>
      <c r="Z211" s="3"/>
      <c r="AA211" s="3"/>
      <c r="AB211" s="3">
        <v>3</v>
      </c>
      <c r="AC211" s="3">
        <v>6</v>
      </c>
      <c r="AD211" s="3"/>
      <c r="AE211" s="3"/>
      <c r="AF211" s="3">
        <v>1</v>
      </c>
      <c r="AG211" s="3"/>
      <c r="AH211" s="3"/>
      <c r="AI211" s="3">
        <v>9</v>
      </c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>
        <v>9</v>
      </c>
      <c r="AX211" s="3"/>
      <c r="AY211" s="3">
        <v>1</v>
      </c>
      <c r="AZ211" s="3"/>
      <c r="BA211" s="3">
        <v>1</v>
      </c>
      <c r="BB211" s="3">
        <v>9</v>
      </c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>
        <v>9</v>
      </c>
      <c r="BN211" s="3"/>
      <c r="BO211" s="3"/>
      <c r="BP211" s="3"/>
      <c r="BQ211" s="3">
        <v>1</v>
      </c>
      <c r="BR211" s="3"/>
      <c r="BS211" s="3">
        <v>1</v>
      </c>
      <c r="BT211" s="3">
        <v>2</v>
      </c>
      <c r="BU211" s="3">
        <v>1</v>
      </c>
      <c r="BV211" s="3">
        <v>1</v>
      </c>
      <c r="BW211" s="3">
        <v>1</v>
      </c>
      <c r="BX211" s="3">
        <v>1</v>
      </c>
      <c r="BY211" s="3">
        <v>1</v>
      </c>
      <c r="BZ211" s="3">
        <v>1</v>
      </c>
      <c r="CA211" s="3">
        <v>1</v>
      </c>
      <c r="CB211" s="3">
        <v>1</v>
      </c>
      <c r="CC211" s="3">
        <v>1</v>
      </c>
      <c r="CD211" s="3">
        <v>1</v>
      </c>
      <c r="CE211" s="19">
        <v>1</v>
      </c>
      <c r="CF211" s="19">
        <v>1</v>
      </c>
      <c r="CG211" s="3"/>
      <c r="CH211" s="3">
        <v>1</v>
      </c>
      <c r="CI211" s="3">
        <v>1</v>
      </c>
      <c r="CJ211" s="19">
        <v>1</v>
      </c>
      <c r="CK211" s="19">
        <v>3</v>
      </c>
      <c r="CL211" s="19">
        <v>7</v>
      </c>
      <c r="CM211" s="19">
        <v>2</v>
      </c>
      <c r="CN211" s="3" t="s">
        <v>1185</v>
      </c>
      <c r="CO211" s="3" t="s">
        <v>1185</v>
      </c>
      <c r="CP211" s="3"/>
      <c r="CR211" s="3" t="s">
        <v>1185</v>
      </c>
      <c r="CS211" s="3" t="s">
        <v>1185</v>
      </c>
      <c r="CT211" s="3"/>
      <c r="CU211" s="3"/>
      <c r="CV211" s="3"/>
      <c r="CW211" s="3"/>
      <c r="CX211" s="3"/>
      <c r="CY211" s="3"/>
      <c r="CZ211" s="3">
        <v>9</v>
      </c>
      <c r="DA211" s="3">
        <v>9</v>
      </c>
      <c r="DB211" s="3">
        <v>1</v>
      </c>
      <c r="DC211" s="3">
        <v>9</v>
      </c>
      <c r="DD211" s="3">
        <v>9</v>
      </c>
      <c r="DE211" s="3">
        <v>1</v>
      </c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R211" s="3"/>
      <c r="DU211" s="3"/>
      <c r="DV211" s="3"/>
      <c r="DW211" s="3"/>
      <c r="DX211" s="3"/>
      <c r="DY211" s="3"/>
      <c r="DZ211" s="3"/>
      <c r="EB211" s="3"/>
      <c r="EC211" s="3"/>
      <c r="ED211" s="3"/>
    </row>
    <row r="212" spans="1:142" ht="15" customHeight="1" x14ac:dyDescent="0.25">
      <c r="A212" s="6" t="s">
        <v>351</v>
      </c>
      <c r="B212" s="2" t="s">
        <v>784</v>
      </c>
      <c r="C212" s="2" t="s">
        <v>1366</v>
      </c>
      <c r="D212" s="25" t="s">
        <v>1183</v>
      </c>
      <c r="E212" s="4" t="s">
        <v>1190</v>
      </c>
      <c r="F212" s="4" t="s">
        <v>1222</v>
      </c>
      <c r="G212" s="26">
        <v>1988</v>
      </c>
      <c r="H212" s="5"/>
      <c r="I212" s="5"/>
      <c r="J212" s="5"/>
      <c r="M212" s="5"/>
      <c r="N212" s="2" t="s">
        <v>1367</v>
      </c>
      <c r="O212" s="28" t="s">
        <v>2556</v>
      </c>
      <c r="P212" s="3"/>
      <c r="Q212" s="27">
        <v>2</v>
      </c>
      <c r="R212" s="3"/>
      <c r="S212" s="3"/>
      <c r="T212" s="3"/>
      <c r="U212" s="3"/>
      <c r="V212" s="3"/>
      <c r="W212" s="3">
        <v>4</v>
      </c>
      <c r="X212" s="3"/>
      <c r="Z212" s="3"/>
      <c r="AA212" s="3"/>
      <c r="AB212" s="3">
        <v>7</v>
      </c>
      <c r="AC212" s="3">
        <v>8</v>
      </c>
      <c r="AD212" s="3"/>
      <c r="AE212" s="3"/>
      <c r="AF212" s="3">
        <v>1</v>
      </c>
      <c r="AG212" s="3"/>
      <c r="AH212" s="3"/>
      <c r="AI212" s="3">
        <v>9</v>
      </c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>
        <v>9</v>
      </c>
      <c r="AX212" s="3"/>
      <c r="AY212" s="3">
        <v>1</v>
      </c>
      <c r="AZ212" s="3"/>
      <c r="BA212" s="3">
        <v>1</v>
      </c>
      <c r="BB212" s="3">
        <v>9</v>
      </c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>
        <v>9</v>
      </c>
      <c r="BN212" s="3"/>
      <c r="BO212" s="3"/>
      <c r="BP212" s="3"/>
      <c r="BQ212" s="3">
        <v>3</v>
      </c>
      <c r="BR212" s="3"/>
      <c r="BS212" s="3">
        <v>1</v>
      </c>
      <c r="BT212" s="3">
        <v>1</v>
      </c>
      <c r="BU212" s="3">
        <v>1</v>
      </c>
      <c r="BV212" s="3">
        <v>1</v>
      </c>
      <c r="BW212" s="3"/>
      <c r="BX212" s="3">
        <v>1</v>
      </c>
      <c r="BY212" s="3">
        <v>1</v>
      </c>
      <c r="BZ212" s="3"/>
      <c r="CA212" s="3">
        <v>2</v>
      </c>
      <c r="CB212" s="3">
        <v>3</v>
      </c>
      <c r="CC212" s="3"/>
      <c r="CD212" s="3">
        <v>1</v>
      </c>
      <c r="CE212" s="19">
        <v>9</v>
      </c>
      <c r="CF212" s="3">
        <v>1</v>
      </c>
      <c r="CG212" s="3"/>
      <c r="CH212" s="3">
        <v>1</v>
      </c>
      <c r="CI212" s="3">
        <v>1</v>
      </c>
      <c r="CJ212" s="3">
        <v>1</v>
      </c>
      <c r="CK212" s="3">
        <v>5</v>
      </c>
      <c r="CL212" s="3">
        <v>1</v>
      </c>
      <c r="CM212" s="3" t="s">
        <v>1185</v>
      </c>
      <c r="CN212" s="3" t="s">
        <v>1185</v>
      </c>
      <c r="CO212" s="3" t="s">
        <v>1185</v>
      </c>
      <c r="CP212" s="3" t="s">
        <v>1185</v>
      </c>
      <c r="CQ212" s="3" t="s">
        <v>1185</v>
      </c>
      <c r="CR212" s="3" t="s">
        <v>1185</v>
      </c>
      <c r="CS212" s="3" t="s">
        <v>1185</v>
      </c>
      <c r="CT212" s="3">
        <v>1</v>
      </c>
      <c r="CU212" s="3">
        <v>3</v>
      </c>
      <c r="CV212" s="3">
        <v>3</v>
      </c>
      <c r="CW212" s="3">
        <v>1</v>
      </c>
      <c r="CX212" s="3">
        <v>9</v>
      </c>
      <c r="CY212" s="3"/>
      <c r="CZ212" s="3">
        <v>9</v>
      </c>
      <c r="DA212" s="3">
        <v>9</v>
      </c>
      <c r="DB212" s="3">
        <v>1</v>
      </c>
      <c r="DC212" s="3">
        <v>9</v>
      </c>
      <c r="DD212" s="3">
        <v>9</v>
      </c>
      <c r="DE212" s="3">
        <v>1</v>
      </c>
      <c r="DF212" s="3">
        <v>9</v>
      </c>
      <c r="DG212" s="3">
        <v>9</v>
      </c>
      <c r="DH212" s="3">
        <v>9</v>
      </c>
      <c r="DI212" s="3">
        <v>9</v>
      </c>
      <c r="DJ212" s="3">
        <v>9</v>
      </c>
      <c r="DK212" s="3">
        <v>9</v>
      </c>
      <c r="DL212" s="3"/>
      <c r="DM212" s="3"/>
      <c r="DN212" s="3"/>
      <c r="DO212" s="3"/>
      <c r="DP212" s="3"/>
      <c r="DR212" s="3"/>
      <c r="DV212" s="3"/>
      <c r="DW212" s="3"/>
      <c r="EA212" s="3"/>
      <c r="EE212" s="3"/>
      <c r="EF212" s="3"/>
      <c r="EG212" s="3"/>
      <c r="EH212" s="3"/>
      <c r="EI212" s="3"/>
      <c r="EJ212" s="3"/>
      <c r="EK212" s="3"/>
      <c r="EL212" s="3"/>
    </row>
    <row r="213" spans="1:142" ht="15" customHeight="1" x14ac:dyDescent="0.25">
      <c r="A213" s="6" t="s">
        <v>352</v>
      </c>
      <c r="B213" s="2" t="s">
        <v>784</v>
      </c>
      <c r="C213" s="2" t="s">
        <v>1368</v>
      </c>
      <c r="D213" s="25" t="s">
        <v>1183</v>
      </c>
      <c r="E213" s="4" t="s">
        <v>1190</v>
      </c>
      <c r="F213" s="4" t="s">
        <v>1222</v>
      </c>
      <c r="G213" s="26">
        <v>1988</v>
      </c>
      <c r="H213" s="5"/>
      <c r="I213" s="5"/>
      <c r="J213" s="5"/>
      <c r="M213" s="5"/>
      <c r="N213" s="2" t="s">
        <v>1369</v>
      </c>
      <c r="O213" s="28" t="s">
        <v>2557</v>
      </c>
      <c r="P213" s="3"/>
      <c r="Q213" s="27">
        <v>2</v>
      </c>
      <c r="R213" s="3"/>
      <c r="S213" s="3"/>
      <c r="T213" s="3"/>
      <c r="U213" s="3"/>
      <c r="V213" s="3"/>
      <c r="W213" s="3">
        <v>4</v>
      </c>
      <c r="X213" s="3"/>
      <c r="Z213" s="3"/>
      <c r="AA213" s="3"/>
      <c r="AB213" s="3">
        <v>2</v>
      </c>
      <c r="AC213" s="3">
        <v>5</v>
      </c>
      <c r="AD213" s="3"/>
      <c r="AE213" s="3"/>
      <c r="AF213" s="3">
        <v>1</v>
      </c>
      <c r="AG213" s="3"/>
      <c r="AH213" s="3"/>
      <c r="AI213" s="3">
        <v>9</v>
      </c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>
        <v>9</v>
      </c>
      <c r="AX213" s="3"/>
      <c r="AY213" s="3">
        <v>1</v>
      </c>
      <c r="AZ213" s="3"/>
      <c r="BA213" s="3">
        <v>1</v>
      </c>
      <c r="BB213" s="3">
        <v>9</v>
      </c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>
        <v>9</v>
      </c>
      <c r="BN213" s="3"/>
      <c r="BO213" s="3"/>
      <c r="BP213" s="3"/>
      <c r="BQ213" s="3">
        <v>7</v>
      </c>
      <c r="BR213" s="3"/>
      <c r="BS213" s="3"/>
      <c r="BT213" s="19">
        <v>9</v>
      </c>
      <c r="BU213" s="3">
        <v>7</v>
      </c>
      <c r="BV213" s="19">
        <v>6</v>
      </c>
      <c r="BW213" s="19">
        <v>9</v>
      </c>
      <c r="BX213" s="19">
        <v>6</v>
      </c>
      <c r="BY213" s="3"/>
      <c r="BZ213" s="19">
        <v>9</v>
      </c>
      <c r="CA213" s="19">
        <v>7</v>
      </c>
      <c r="CB213" s="3"/>
      <c r="CC213" s="19">
        <v>4</v>
      </c>
      <c r="CD213" s="3"/>
      <c r="CE213" s="19">
        <v>9</v>
      </c>
      <c r="CF213" s="19">
        <v>7</v>
      </c>
      <c r="CG213" s="3"/>
      <c r="CH213" s="3">
        <v>5</v>
      </c>
      <c r="CI213" s="3">
        <v>1</v>
      </c>
      <c r="CJ213" s="19">
        <v>5</v>
      </c>
      <c r="CK213" s="19">
        <v>2</v>
      </c>
      <c r="CL213" s="19">
        <v>3</v>
      </c>
      <c r="CM213" s="19">
        <v>3</v>
      </c>
      <c r="CN213" s="3"/>
      <c r="CO213" s="3" t="s">
        <v>1185</v>
      </c>
      <c r="CP213" s="3" t="s">
        <v>1185</v>
      </c>
      <c r="CR213" s="3" t="s">
        <v>1185</v>
      </c>
      <c r="CS213" s="3" t="s">
        <v>1185</v>
      </c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19">
        <v>9</v>
      </c>
      <c r="DR213" s="3"/>
      <c r="DU213" s="3"/>
      <c r="DV213" s="3"/>
      <c r="DW213" s="3"/>
      <c r="DX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</row>
    <row r="214" spans="1:142" ht="15" customHeight="1" x14ac:dyDescent="0.25">
      <c r="A214" s="6" t="s">
        <v>353</v>
      </c>
      <c r="B214" s="2" t="s">
        <v>784</v>
      </c>
      <c r="C214" s="2" t="s">
        <v>1370</v>
      </c>
      <c r="D214" s="25" t="s">
        <v>1183</v>
      </c>
      <c r="E214" s="4" t="s">
        <v>1190</v>
      </c>
      <c r="F214" s="4" t="s">
        <v>1222</v>
      </c>
      <c r="G214" s="26">
        <v>1988</v>
      </c>
      <c r="H214" s="5"/>
      <c r="I214" s="5"/>
      <c r="J214" s="5"/>
      <c r="M214" s="5"/>
      <c r="N214" s="2" t="s">
        <v>1371</v>
      </c>
      <c r="O214" s="28" t="s">
        <v>2558</v>
      </c>
      <c r="P214" s="3"/>
      <c r="Q214" s="27">
        <v>2</v>
      </c>
      <c r="R214" s="3"/>
      <c r="S214" s="3"/>
      <c r="T214" s="3"/>
      <c r="U214" s="3"/>
      <c r="V214" s="3"/>
      <c r="W214" s="3"/>
      <c r="X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>
        <v>1</v>
      </c>
      <c r="BR214" s="3">
        <v>3</v>
      </c>
      <c r="BS214" s="3">
        <v>1</v>
      </c>
      <c r="BT214" s="3">
        <v>1</v>
      </c>
      <c r="BU214" s="3">
        <v>1</v>
      </c>
      <c r="BV214" s="3">
        <v>1</v>
      </c>
      <c r="BW214" s="3">
        <v>1</v>
      </c>
      <c r="BX214" s="3">
        <v>1</v>
      </c>
      <c r="BY214" s="3">
        <v>1</v>
      </c>
      <c r="BZ214" s="3">
        <v>3</v>
      </c>
      <c r="CA214" s="3">
        <v>3</v>
      </c>
      <c r="CB214" s="3">
        <v>1</v>
      </c>
      <c r="CC214" s="3">
        <v>1</v>
      </c>
      <c r="CD214" s="3">
        <v>1</v>
      </c>
      <c r="CE214" s="3"/>
      <c r="CF214" s="3"/>
      <c r="CG214" s="3"/>
      <c r="CH214" s="3"/>
      <c r="CI214" s="3"/>
      <c r="CJ214" s="3"/>
      <c r="CK214" s="3"/>
      <c r="CL214" s="3"/>
      <c r="CM214" s="3" t="s">
        <v>1185</v>
      </c>
      <c r="CN214" s="3" t="s">
        <v>1185</v>
      </c>
      <c r="CO214" s="3" t="s">
        <v>1185</v>
      </c>
      <c r="CP214" s="3" t="s">
        <v>1185</v>
      </c>
      <c r="CQ214" s="3" t="s">
        <v>1185</v>
      </c>
      <c r="CR214" s="3" t="s">
        <v>1185</v>
      </c>
      <c r="CS214" s="3" t="s">
        <v>1185</v>
      </c>
      <c r="CT214" s="3"/>
      <c r="CU214" s="3"/>
      <c r="CV214" s="3"/>
      <c r="CW214" s="3"/>
      <c r="CX214" s="3"/>
      <c r="CY214" s="3"/>
      <c r="CZ214" s="3">
        <v>9</v>
      </c>
      <c r="DA214" s="3">
        <v>7</v>
      </c>
      <c r="DB214" s="3">
        <v>1</v>
      </c>
      <c r="DC214" s="3">
        <v>7</v>
      </c>
      <c r="DD214" s="3">
        <v>9</v>
      </c>
      <c r="DE214" s="3">
        <v>1</v>
      </c>
      <c r="DF214" s="3">
        <v>5</v>
      </c>
      <c r="DG214" s="3">
        <v>1</v>
      </c>
      <c r="DH214" s="3">
        <v>9</v>
      </c>
      <c r="DI214" s="3">
        <v>9</v>
      </c>
      <c r="DJ214" s="3">
        <v>9</v>
      </c>
      <c r="DK214" s="3">
        <v>9</v>
      </c>
      <c r="DL214" s="3">
        <v>1</v>
      </c>
      <c r="DM214" s="3">
        <v>1</v>
      </c>
      <c r="DN214" s="3">
        <v>2</v>
      </c>
      <c r="DO214" s="3">
        <v>1</v>
      </c>
      <c r="DP214" s="3"/>
      <c r="DR214" s="3"/>
      <c r="DV214" s="3"/>
      <c r="DW214" s="3"/>
      <c r="DX214" s="3"/>
      <c r="EE214" s="3"/>
      <c r="EF214" s="3"/>
      <c r="EG214" s="3"/>
      <c r="EH214" s="3"/>
      <c r="EI214" s="3"/>
      <c r="EJ214" s="3"/>
      <c r="EK214" s="3"/>
      <c r="EL214" s="3"/>
    </row>
    <row r="215" spans="1:142" ht="15" customHeight="1" x14ac:dyDescent="0.25">
      <c r="A215" s="6" t="s">
        <v>354</v>
      </c>
      <c r="B215" s="2" t="s">
        <v>784</v>
      </c>
      <c r="C215" s="2" t="s">
        <v>1372</v>
      </c>
      <c r="D215" s="25" t="s">
        <v>1183</v>
      </c>
      <c r="E215" s="4" t="s">
        <v>1190</v>
      </c>
      <c r="F215" s="4" t="s">
        <v>793</v>
      </c>
      <c r="G215" s="26">
        <v>1989</v>
      </c>
      <c r="H215" s="5"/>
      <c r="I215" s="5"/>
      <c r="J215" s="5"/>
      <c r="M215" s="5"/>
      <c r="N215" s="2" t="s">
        <v>1373</v>
      </c>
      <c r="O215" s="28" t="s">
        <v>2559</v>
      </c>
      <c r="P215" s="3"/>
      <c r="Q215" s="27">
        <v>2</v>
      </c>
      <c r="R215" s="3"/>
      <c r="S215" s="3"/>
      <c r="T215" s="3"/>
      <c r="U215" s="3"/>
      <c r="V215" s="3"/>
      <c r="W215" s="3">
        <v>4</v>
      </c>
      <c r="X215" s="3"/>
      <c r="Z215" s="3"/>
      <c r="AA215" s="3"/>
      <c r="AB215" s="3">
        <v>1</v>
      </c>
      <c r="AC215" s="3">
        <v>3</v>
      </c>
      <c r="AD215" s="3"/>
      <c r="AE215" s="3"/>
      <c r="AF215" s="3">
        <v>1</v>
      </c>
      <c r="AG215" s="3"/>
      <c r="AH215" s="3"/>
      <c r="AI215" s="3">
        <v>9</v>
      </c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>
        <v>9</v>
      </c>
      <c r="AX215" s="3"/>
      <c r="AY215" s="3">
        <v>1</v>
      </c>
      <c r="AZ215" s="3"/>
      <c r="BA215" s="3">
        <v>1</v>
      </c>
      <c r="BB215" s="3">
        <v>9</v>
      </c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>
        <v>9</v>
      </c>
      <c r="BN215" s="3"/>
      <c r="BO215" s="3"/>
      <c r="BP215" s="3"/>
      <c r="BQ215" s="3">
        <v>1</v>
      </c>
      <c r="BR215" s="3">
        <v>1</v>
      </c>
      <c r="BS215" s="3">
        <v>1</v>
      </c>
      <c r="BT215" s="19">
        <v>3</v>
      </c>
      <c r="BU215" s="3">
        <v>1</v>
      </c>
      <c r="BV215" s="19">
        <v>1</v>
      </c>
      <c r="BW215" s="19">
        <v>1</v>
      </c>
      <c r="BX215" s="19">
        <v>1</v>
      </c>
      <c r="BY215" s="19">
        <v>7</v>
      </c>
      <c r="BZ215" s="19">
        <v>9</v>
      </c>
      <c r="CA215" s="19">
        <v>1</v>
      </c>
      <c r="CB215" s="3"/>
      <c r="CC215" s="19">
        <v>1</v>
      </c>
      <c r="CD215" s="3">
        <v>8</v>
      </c>
      <c r="CE215" s="19">
        <v>1</v>
      </c>
      <c r="CF215" s="3">
        <v>9</v>
      </c>
      <c r="CG215" s="19">
        <v>1</v>
      </c>
      <c r="CH215" s="3">
        <v>7</v>
      </c>
      <c r="CI215" s="3">
        <v>9</v>
      </c>
      <c r="CJ215" s="3">
        <v>1</v>
      </c>
      <c r="CK215" s="3">
        <v>5</v>
      </c>
      <c r="CL215" s="3">
        <v>9</v>
      </c>
      <c r="CM215" s="3" t="s">
        <v>1185</v>
      </c>
      <c r="CN215" s="3" t="s">
        <v>1185</v>
      </c>
      <c r="CO215" s="3" t="s">
        <v>1185</v>
      </c>
      <c r="CP215" s="3"/>
      <c r="CQ215" s="3" t="s">
        <v>1185</v>
      </c>
      <c r="CR215" s="3" t="s">
        <v>1185</v>
      </c>
      <c r="CS215" s="3" t="s">
        <v>1185</v>
      </c>
      <c r="CT215" s="3"/>
      <c r="CU215" s="3">
        <v>6</v>
      </c>
      <c r="CV215" s="3"/>
      <c r="CW215" s="3">
        <v>9</v>
      </c>
      <c r="CX215" s="3">
        <v>9</v>
      </c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19">
        <v>9</v>
      </c>
      <c r="DR215" s="3"/>
      <c r="EB215" s="3"/>
      <c r="EC215" s="3"/>
      <c r="ED215" s="3"/>
    </row>
    <row r="216" spans="1:142" ht="15" customHeight="1" x14ac:dyDescent="0.25">
      <c r="A216" s="6" t="s">
        <v>355</v>
      </c>
      <c r="B216" s="2" t="s">
        <v>784</v>
      </c>
      <c r="C216" s="2" t="s">
        <v>1374</v>
      </c>
      <c r="D216" s="25" t="s">
        <v>1183</v>
      </c>
      <c r="E216" s="4" t="s">
        <v>1190</v>
      </c>
      <c r="F216" s="4" t="s">
        <v>1375</v>
      </c>
      <c r="G216" s="26">
        <v>1990</v>
      </c>
      <c r="H216" s="5"/>
      <c r="I216" s="5"/>
      <c r="J216" s="5"/>
      <c r="M216" s="5"/>
      <c r="N216" s="2" t="s">
        <v>1376</v>
      </c>
      <c r="O216" s="28" t="s">
        <v>2560</v>
      </c>
      <c r="P216" s="3"/>
      <c r="Q216" s="27">
        <v>2</v>
      </c>
      <c r="R216" s="3"/>
      <c r="S216" s="3"/>
      <c r="T216" s="3"/>
      <c r="U216" s="3"/>
      <c r="V216" s="3"/>
      <c r="W216" s="3">
        <v>4</v>
      </c>
      <c r="X216" s="3"/>
      <c r="Z216" s="3"/>
      <c r="AA216" s="3"/>
      <c r="AB216" s="3">
        <v>1</v>
      </c>
      <c r="AC216" s="3">
        <v>5</v>
      </c>
      <c r="AD216" s="3"/>
      <c r="AE216" s="3"/>
      <c r="AF216" s="3">
        <v>1</v>
      </c>
      <c r="AG216" s="3"/>
      <c r="AH216" s="3"/>
      <c r="AI216" s="3">
        <v>9</v>
      </c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>
        <v>9</v>
      </c>
      <c r="AX216" s="3"/>
      <c r="AY216" s="3">
        <v>9</v>
      </c>
      <c r="AZ216" s="3"/>
      <c r="BA216" s="3">
        <v>1</v>
      </c>
      <c r="BB216" s="3">
        <v>9</v>
      </c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>
        <v>9</v>
      </c>
      <c r="BN216" s="3">
        <v>3</v>
      </c>
      <c r="BO216" s="3"/>
      <c r="BP216" s="3"/>
      <c r="BQ216" s="3">
        <v>7</v>
      </c>
      <c r="BR216" s="3">
        <v>9</v>
      </c>
      <c r="BS216" s="3"/>
      <c r="BT216" s="19">
        <v>7</v>
      </c>
      <c r="BU216" s="3">
        <v>9</v>
      </c>
      <c r="BV216" s="19">
        <v>8</v>
      </c>
      <c r="BW216" s="19">
        <v>9</v>
      </c>
      <c r="BX216" s="19">
        <v>5</v>
      </c>
      <c r="BY216" s="3"/>
      <c r="BZ216" s="19">
        <v>9</v>
      </c>
      <c r="CA216" s="19">
        <v>9</v>
      </c>
      <c r="CB216" s="19">
        <v>9</v>
      </c>
      <c r="CC216" s="19">
        <v>9</v>
      </c>
      <c r="CD216" s="3">
        <v>9</v>
      </c>
      <c r="CE216" s="3"/>
      <c r="CF216" s="19">
        <v>7</v>
      </c>
      <c r="CG216" s="3"/>
      <c r="CH216" s="3">
        <v>9</v>
      </c>
      <c r="CI216" s="3">
        <v>3</v>
      </c>
      <c r="CJ216" s="19">
        <v>9</v>
      </c>
      <c r="CK216" s="19">
        <v>9</v>
      </c>
      <c r="CL216" s="19">
        <v>7</v>
      </c>
      <c r="CM216" s="19">
        <v>8</v>
      </c>
      <c r="CN216" s="3" t="s">
        <v>1185</v>
      </c>
      <c r="CO216" s="3" t="s">
        <v>1185</v>
      </c>
      <c r="CP216" s="3" t="s">
        <v>1185</v>
      </c>
      <c r="CQ216" s="3" t="s">
        <v>1185</v>
      </c>
      <c r="CR216" s="3" t="s">
        <v>1185</v>
      </c>
      <c r="CS216" s="3" t="s">
        <v>1185</v>
      </c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R216" s="3">
        <v>9</v>
      </c>
    </row>
    <row r="217" spans="1:142" ht="15" customHeight="1" x14ac:dyDescent="0.25">
      <c r="A217" s="6" t="s">
        <v>356</v>
      </c>
      <c r="B217" s="2" t="s">
        <v>784</v>
      </c>
      <c r="C217" s="2" t="s">
        <v>1377</v>
      </c>
      <c r="D217" s="25" t="s">
        <v>1183</v>
      </c>
      <c r="E217" s="4" t="s">
        <v>1190</v>
      </c>
      <c r="F217" s="4" t="s">
        <v>1378</v>
      </c>
      <c r="G217" s="26">
        <v>1990</v>
      </c>
      <c r="H217" s="5"/>
      <c r="I217" s="5"/>
      <c r="J217" s="5"/>
      <c r="M217" s="5"/>
      <c r="N217" s="2" t="s">
        <v>1379</v>
      </c>
      <c r="O217" s="28" t="s">
        <v>2561</v>
      </c>
      <c r="P217" s="3"/>
      <c r="Q217" s="27">
        <v>2</v>
      </c>
      <c r="R217" s="3"/>
      <c r="S217" s="3"/>
      <c r="T217" s="3"/>
      <c r="U217" s="3"/>
      <c r="V217" s="3"/>
      <c r="W217" s="3">
        <v>4</v>
      </c>
      <c r="X217" s="3"/>
      <c r="Z217" s="3"/>
      <c r="AA217" s="3"/>
      <c r="AB217" s="3">
        <v>8</v>
      </c>
      <c r="AC217" s="3">
        <v>8</v>
      </c>
      <c r="AD217" s="3"/>
      <c r="AE217" s="3"/>
      <c r="AF217" s="3">
        <v>1</v>
      </c>
      <c r="AG217" s="3"/>
      <c r="AH217" s="3"/>
      <c r="AI217" s="3">
        <v>9</v>
      </c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>
        <v>9</v>
      </c>
      <c r="AX217" s="3"/>
      <c r="AY217" s="3">
        <v>1</v>
      </c>
      <c r="AZ217" s="3"/>
      <c r="BA217" s="3">
        <v>1</v>
      </c>
      <c r="BB217" s="3">
        <v>9</v>
      </c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>
        <v>9</v>
      </c>
      <c r="BN217" s="3">
        <v>4</v>
      </c>
      <c r="BO217" s="3"/>
      <c r="BP217" s="3"/>
      <c r="BQ217" s="3">
        <v>7</v>
      </c>
      <c r="BR217" s="3">
        <v>5</v>
      </c>
      <c r="BS217" s="3"/>
      <c r="BT217" s="19">
        <v>4</v>
      </c>
      <c r="BU217" s="3">
        <v>7</v>
      </c>
      <c r="BV217" s="19">
        <v>5</v>
      </c>
      <c r="BW217" s="19">
        <v>5</v>
      </c>
      <c r="BX217" s="19">
        <v>5</v>
      </c>
      <c r="BY217" s="3"/>
      <c r="BZ217" s="19">
        <v>9</v>
      </c>
      <c r="CA217" s="19">
        <v>6</v>
      </c>
      <c r="CB217" s="19">
        <v>6</v>
      </c>
      <c r="CC217" s="19">
        <v>5</v>
      </c>
      <c r="CD217" s="3">
        <v>6</v>
      </c>
      <c r="CE217" s="19">
        <v>2</v>
      </c>
      <c r="CF217" s="19">
        <v>5</v>
      </c>
      <c r="CG217" s="3"/>
      <c r="CH217" s="3">
        <v>5</v>
      </c>
      <c r="CI217" s="3">
        <v>4</v>
      </c>
      <c r="CJ217" s="19">
        <v>6</v>
      </c>
      <c r="CK217" s="19">
        <v>6</v>
      </c>
      <c r="CL217" s="19">
        <v>4</v>
      </c>
      <c r="CM217" s="3" t="s">
        <v>1185</v>
      </c>
      <c r="CN217" s="3" t="s">
        <v>1185</v>
      </c>
      <c r="CO217" s="3" t="s">
        <v>1185</v>
      </c>
      <c r="CP217" s="3" t="s">
        <v>1185</v>
      </c>
      <c r="CQ217" s="3" t="s">
        <v>1185</v>
      </c>
      <c r="CR217" s="3" t="s">
        <v>1185</v>
      </c>
      <c r="CS217" s="3" t="s">
        <v>1185</v>
      </c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19">
        <v>9</v>
      </c>
      <c r="DR217" s="3"/>
      <c r="DY217" s="3"/>
      <c r="DZ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</row>
    <row r="218" spans="1:142" ht="15" customHeight="1" x14ac:dyDescent="0.25">
      <c r="A218" s="6" t="s">
        <v>357</v>
      </c>
      <c r="B218" s="2" t="s">
        <v>784</v>
      </c>
      <c r="C218" s="2" t="s">
        <v>1380</v>
      </c>
      <c r="D218" s="25" t="s">
        <v>1183</v>
      </c>
      <c r="E218" s="4" t="s">
        <v>1190</v>
      </c>
      <c r="F218" s="4" t="s">
        <v>1378</v>
      </c>
      <c r="G218" s="26">
        <v>1990</v>
      </c>
      <c r="H218" s="5"/>
      <c r="I218" s="5"/>
      <c r="J218" s="5"/>
      <c r="M218" s="5"/>
      <c r="N218" s="2" t="s">
        <v>1381</v>
      </c>
      <c r="O218" s="28" t="s">
        <v>2562</v>
      </c>
      <c r="P218" s="3"/>
      <c r="Q218" s="27">
        <v>2</v>
      </c>
      <c r="R218" s="3"/>
      <c r="S218" s="3"/>
      <c r="T218" s="3"/>
      <c r="U218" s="3"/>
      <c r="V218" s="3"/>
      <c r="W218" s="3">
        <v>4</v>
      </c>
      <c r="X218" s="3"/>
      <c r="Z218" s="3"/>
      <c r="AA218" s="3"/>
      <c r="AB218" s="3">
        <v>8</v>
      </c>
      <c r="AC218" s="3">
        <v>6</v>
      </c>
      <c r="AD218" s="3"/>
      <c r="AE218" s="3"/>
      <c r="AF218" s="3">
        <v>1</v>
      </c>
      <c r="AG218" s="3"/>
      <c r="AH218" s="3"/>
      <c r="AI218" s="3"/>
      <c r="AJ218" s="3">
        <v>6</v>
      </c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>
        <v>3</v>
      </c>
      <c r="AY218" s="3"/>
      <c r="AZ218" s="3">
        <v>5</v>
      </c>
      <c r="BA218" s="3">
        <v>1</v>
      </c>
      <c r="BB218" s="3">
        <v>9</v>
      </c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>
        <v>9</v>
      </c>
      <c r="BN218" s="3"/>
      <c r="BO218" s="3"/>
      <c r="BP218" s="3"/>
      <c r="BQ218" s="3">
        <v>9</v>
      </c>
      <c r="BR218" s="3">
        <v>9</v>
      </c>
      <c r="BS218" s="3">
        <v>5</v>
      </c>
      <c r="BT218" s="3"/>
      <c r="BU218" s="3">
        <v>1</v>
      </c>
      <c r="BV218" s="19">
        <v>8</v>
      </c>
      <c r="BW218" s="19">
        <v>9</v>
      </c>
      <c r="BX218" s="19">
        <v>7</v>
      </c>
      <c r="BY218" s="3"/>
      <c r="BZ218" s="19">
        <v>6</v>
      </c>
      <c r="CA218" s="19">
        <v>8</v>
      </c>
      <c r="CB218" s="19">
        <v>8</v>
      </c>
      <c r="CC218" s="3"/>
      <c r="CD218" s="3">
        <v>9</v>
      </c>
      <c r="CE218" s="19">
        <v>9</v>
      </c>
      <c r="CF218" s="3">
        <v>8</v>
      </c>
      <c r="CG218" s="3"/>
      <c r="CH218" s="3">
        <v>9</v>
      </c>
      <c r="CI218" s="3">
        <v>7</v>
      </c>
      <c r="CJ218" s="3">
        <v>8</v>
      </c>
      <c r="CK218" s="3">
        <v>7</v>
      </c>
      <c r="CL218" s="3">
        <v>9</v>
      </c>
      <c r="CM218" s="3" t="s">
        <v>1185</v>
      </c>
      <c r="CN218" s="3" t="s">
        <v>1185</v>
      </c>
      <c r="CO218" s="3" t="s">
        <v>1185</v>
      </c>
      <c r="CP218" s="3"/>
      <c r="CQ218" s="3" t="s">
        <v>1185</v>
      </c>
      <c r="CR218" s="3" t="s">
        <v>1185</v>
      </c>
      <c r="CS218" s="3" t="s">
        <v>1185</v>
      </c>
      <c r="CT218" s="3">
        <v>1</v>
      </c>
      <c r="CU218" s="3">
        <v>7</v>
      </c>
      <c r="CV218" s="3">
        <v>5</v>
      </c>
      <c r="CW218" s="3">
        <v>9</v>
      </c>
      <c r="CX218" s="3">
        <v>8</v>
      </c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R218" s="3"/>
    </row>
    <row r="219" spans="1:142" ht="15" customHeight="1" x14ac:dyDescent="0.25">
      <c r="A219" s="6" t="s">
        <v>358</v>
      </c>
      <c r="B219" s="2" t="s">
        <v>784</v>
      </c>
      <c r="C219" s="2" t="s">
        <v>1382</v>
      </c>
      <c r="D219" s="25" t="s">
        <v>1183</v>
      </c>
      <c r="E219" s="4" t="s">
        <v>1190</v>
      </c>
      <c r="F219" s="4" t="s">
        <v>1378</v>
      </c>
      <c r="G219" s="26">
        <v>1990</v>
      </c>
      <c r="H219" s="5"/>
      <c r="I219" s="5"/>
      <c r="J219" s="5"/>
      <c r="M219" s="5"/>
      <c r="N219" s="2" t="s">
        <v>1383</v>
      </c>
      <c r="O219" s="28" t="s">
        <v>2563</v>
      </c>
      <c r="P219" s="3"/>
      <c r="Q219" s="27">
        <v>2</v>
      </c>
      <c r="R219" s="3"/>
      <c r="S219" s="3"/>
      <c r="T219" s="3"/>
      <c r="U219" s="3"/>
      <c r="V219" s="3"/>
      <c r="W219" s="3">
        <v>4</v>
      </c>
      <c r="X219" s="3"/>
      <c r="Z219" s="3"/>
      <c r="AA219" s="3"/>
      <c r="AB219" s="3">
        <v>7</v>
      </c>
      <c r="AC219" s="3">
        <v>6</v>
      </c>
      <c r="AD219" s="3"/>
      <c r="AE219" s="3"/>
      <c r="AF219" s="3">
        <v>1</v>
      </c>
      <c r="AG219" s="3"/>
      <c r="AH219" s="3"/>
      <c r="AI219" s="3"/>
      <c r="AJ219" s="3">
        <v>4</v>
      </c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>
        <v>4</v>
      </c>
      <c r="AY219" s="3"/>
      <c r="AZ219" s="3"/>
      <c r="BA219" s="3">
        <v>1</v>
      </c>
      <c r="BB219" s="3">
        <v>9</v>
      </c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>
        <v>9</v>
      </c>
      <c r="BN219" s="3"/>
      <c r="BO219" s="3"/>
      <c r="BP219" s="3"/>
      <c r="BQ219" s="3">
        <v>9</v>
      </c>
      <c r="BR219" s="3">
        <v>9</v>
      </c>
      <c r="BS219" s="3">
        <v>9</v>
      </c>
      <c r="BT219" s="19">
        <v>9</v>
      </c>
      <c r="BU219" s="3">
        <v>3</v>
      </c>
      <c r="BV219" s="19">
        <v>9</v>
      </c>
      <c r="BW219" s="19">
        <v>9</v>
      </c>
      <c r="BX219" s="19">
        <v>8</v>
      </c>
      <c r="BY219" s="3"/>
      <c r="BZ219" s="3"/>
      <c r="CA219" s="19">
        <v>9</v>
      </c>
      <c r="CB219" s="19">
        <v>9</v>
      </c>
      <c r="CC219" s="19">
        <v>9</v>
      </c>
      <c r="CD219" s="3">
        <v>9</v>
      </c>
      <c r="CE219" s="19">
        <v>9</v>
      </c>
      <c r="CF219" s="3">
        <v>9</v>
      </c>
      <c r="CG219" s="3"/>
      <c r="CH219" s="3">
        <v>9</v>
      </c>
      <c r="CI219" s="3">
        <v>9</v>
      </c>
      <c r="CJ219" s="3">
        <v>9</v>
      </c>
      <c r="CK219" s="3">
        <v>9</v>
      </c>
      <c r="CL219" s="3">
        <v>9</v>
      </c>
      <c r="CM219" s="3" t="s">
        <v>1185</v>
      </c>
      <c r="CN219" s="3" t="s">
        <v>1185</v>
      </c>
      <c r="CO219" s="3" t="s">
        <v>1185</v>
      </c>
      <c r="CP219" s="3"/>
      <c r="CQ219" s="3" t="s">
        <v>1185</v>
      </c>
      <c r="CR219" s="3" t="s">
        <v>1185</v>
      </c>
      <c r="CS219" s="3" t="s">
        <v>1185</v>
      </c>
      <c r="CT219" s="3">
        <v>8</v>
      </c>
      <c r="CU219" s="3">
        <v>9</v>
      </c>
      <c r="CV219" s="3">
        <v>7</v>
      </c>
      <c r="CW219" s="3">
        <v>9</v>
      </c>
      <c r="CX219" s="3">
        <v>9</v>
      </c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19">
        <v>9</v>
      </c>
      <c r="DR219" s="3"/>
    </row>
    <row r="220" spans="1:142" ht="15" customHeight="1" x14ac:dyDescent="0.25">
      <c r="A220" s="6" t="s">
        <v>359</v>
      </c>
      <c r="B220" s="2" t="s">
        <v>784</v>
      </c>
      <c r="C220" s="2" t="s">
        <v>1384</v>
      </c>
      <c r="D220" s="25" t="s">
        <v>1183</v>
      </c>
      <c r="E220" s="4" t="s">
        <v>1190</v>
      </c>
      <c r="F220" s="4" t="s">
        <v>1378</v>
      </c>
      <c r="G220" s="26">
        <v>1990</v>
      </c>
      <c r="H220" s="5"/>
      <c r="I220" s="5"/>
      <c r="J220" s="5"/>
      <c r="M220" s="5"/>
      <c r="N220" s="2" t="s">
        <v>1385</v>
      </c>
      <c r="O220" s="28" t="s">
        <v>2564</v>
      </c>
      <c r="P220" s="3"/>
      <c r="Q220" s="27">
        <v>2</v>
      </c>
      <c r="R220" s="3"/>
      <c r="S220" s="3"/>
      <c r="T220" s="3"/>
      <c r="U220" s="3"/>
      <c r="V220" s="3"/>
      <c r="W220" s="3">
        <v>4</v>
      </c>
      <c r="X220" s="3"/>
      <c r="Z220" s="3"/>
      <c r="AA220" s="3"/>
      <c r="AB220" s="3"/>
      <c r="AC220" s="3">
        <v>6</v>
      </c>
      <c r="AD220" s="3"/>
      <c r="AE220" s="3"/>
      <c r="AF220" s="3">
        <v>1</v>
      </c>
      <c r="AG220" s="3"/>
      <c r="AH220" s="3"/>
      <c r="AI220" s="3"/>
      <c r="AJ220" s="3">
        <v>6</v>
      </c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>
        <v>3</v>
      </c>
      <c r="AY220" s="3"/>
      <c r="AZ220" s="3">
        <v>2</v>
      </c>
      <c r="BA220" s="3">
        <v>1</v>
      </c>
      <c r="BB220" s="3">
        <v>9</v>
      </c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>
        <v>9</v>
      </c>
      <c r="BN220" s="3">
        <v>4</v>
      </c>
      <c r="BO220" s="3"/>
      <c r="BP220" s="3"/>
      <c r="BQ220" s="3">
        <v>9</v>
      </c>
      <c r="BR220" s="3">
        <v>9</v>
      </c>
      <c r="BS220" s="3"/>
      <c r="BT220" s="3"/>
      <c r="BU220" s="3">
        <v>9</v>
      </c>
      <c r="BV220" s="19">
        <v>7</v>
      </c>
      <c r="BW220" s="19">
        <v>9</v>
      </c>
      <c r="BX220" s="19">
        <v>5</v>
      </c>
      <c r="BY220" s="3"/>
      <c r="BZ220" s="19">
        <v>9</v>
      </c>
      <c r="CA220" s="19">
        <v>9</v>
      </c>
      <c r="CB220" s="19">
        <v>9</v>
      </c>
      <c r="CC220" s="19">
        <v>7</v>
      </c>
      <c r="CD220" s="3">
        <v>9</v>
      </c>
      <c r="CE220" s="19">
        <v>8</v>
      </c>
      <c r="CF220" s="19">
        <v>9</v>
      </c>
      <c r="CG220" s="3"/>
      <c r="CH220" s="3">
        <v>8</v>
      </c>
      <c r="CI220" s="3">
        <v>9</v>
      </c>
      <c r="CJ220" s="19">
        <v>9</v>
      </c>
      <c r="CK220" s="19">
        <v>9</v>
      </c>
      <c r="CL220" s="19">
        <v>8</v>
      </c>
      <c r="CM220" s="19">
        <v>9</v>
      </c>
      <c r="CN220" s="3" t="s">
        <v>1185</v>
      </c>
      <c r="CO220" s="3" t="s">
        <v>1185</v>
      </c>
      <c r="CP220" s="3" t="s">
        <v>1185</v>
      </c>
      <c r="CQ220" s="3" t="s">
        <v>1185</v>
      </c>
      <c r="CR220" s="3" t="s">
        <v>1185</v>
      </c>
      <c r="CS220" s="3" t="s">
        <v>1185</v>
      </c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19">
        <v>9</v>
      </c>
      <c r="DR220" s="3"/>
    </row>
    <row r="221" spans="1:142" ht="15" customHeight="1" x14ac:dyDescent="0.25">
      <c r="A221" s="6" t="s">
        <v>360</v>
      </c>
      <c r="B221" s="2" t="s">
        <v>784</v>
      </c>
      <c r="C221" s="2" t="s">
        <v>1386</v>
      </c>
      <c r="D221" s="25" t="s">
        <v>1183</v>
      </c>
      <c r="E221" s="4" t="s">
        <v>1190</v>
      </c>
      <c r="F221" s="4" t="s">
        <v>1387</v>
      </c>
      <c r="G221" s="26">
        <v>1990</v>
      </c>
      <c r="H221" s="5"/>
      <c r="I221" s="5"/>
      <c r="J221" s="5"/>
      <c r="M221" s="5"/>
      <c r="N221" s="2" t="s">
        <v>1388</v>
      </c>
      <c r="O221" s="28" t="s">
        <v>2565</v>
      </c>
      <c r="P221" s="3"/>
      <c r="Q221" s="27">
        <v>2</v>
      </c>
      <c r="R221" s="3"/>
      <c r="S221" s="3"/>
      <c r="T221" s="3"/>
      <c r="U221" s="3"/>
      <c r="V221" s="3"/>
      <c r="W221" s="3">
        <v>4</v>
      </c>
      <c r="X221" s="3"/>
      <c r="Z221" s="3"/>
      <c r="AA221" s="3"/>
      <c r="AB221" s="3">
        <v>8</v>
      </c>
      <c r="AC221" s="3">
        <v>6</v>
      </c>
      <c r="AD221" s="3"/>
      <c r="AE221" s="3"/>
      <c r="AF221" s="3">
        <v>1</v>
      </c>
      <c r="AG221" s="3"/>
      <c r="AH221" s="3"/>
      <c r="AI221" s="3"/>
      <c r="AJ221" s="3">
        <v>7</v>
      </c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>
        <v>4</v>
      </c>
      <c r="AY221" s="3"/>
      <c r="AZ221" s="3"/>
      <c r="BA221" s="3">
        <v>1</v>
      </c>
      <c r="BB221" s="3">
        <v>9</v>
      </c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>
        <v>9</v>
      </c>
      <c r="BN221" s="3"/>
      <c r="BO221" s="3"/>
      <c r="BP221" s="3"/>
      <c r="BQ221" s="3"/>
      <c r="BR221" s="3">
        <v>1</v>
      </c>
      <c r="BS221" s="3"/>
      <c r="BT221" s="19">
        <v>1</v>
      </c>
      <c r="BU221" s="3">
        <v>1</v>
      </c>
      <c r="BV221" s="19">
        <v>1</v>
      </c>
      <c r="BW221" s="19">
        <v>5</v>
      </c>
      <c r="BX221" s="19">
        <v>5</v>
      </c>
      <c r="BY221" s="3"/>
      <c r="BZ221" s="19">
        <v>3</v>
      </c>
      <c r="CA221" s="19">
        <v>6</v>
      </c>
      <c r="CB221" s="19">
        <v>2</v>
      </c>
      <c r="CC221" s="19">
        <v>4</v>
      </c>
      <c r="CD221" s="3">
        <v>5</v>
      </c>
      <c r="CE221" s="19">
        <v>1</v>
      </c>
      <c r="CF221" s="19">
        <v>1</v>
      </c>
      <c r="CG221" s="3"/>
      <c r="CH221" s="3">
        <v>7</v>
      </c>
      <c r="CI221" s="3">
        <v>1</v>
      </c>
      <c r="CJ221" s="19">
        <v>6</v>
      </c>
      <c r="CK221" s="19">
        <v>2</v>
      </c>
      <c r="CL221" s="19">
        <v>1</v>
      </c>
      <c r="CM221" s="19">
        <v>3</v>
      </c>
      <c r="CN221" s="3" t="s">
        <v>1185</v>
      </c>
      <c r="CO221" s="3" t="s">
        <v>1185</v>
      </c>
      <c r="CP221" s="3" t="s">
        <v>1185</v>
      </c>
      <c r="CQ221" s="3" t="s">
        <v>1185</v>
      </c>
      <c r="CR221" s="3" t="s">
        <v>1185</v>
      </c>
      <c r="CS221" s="3" t="s">
        <v>1185</v>
      </c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R221" s="3">
        <v>9</v>
      </c>
      <c r="DU221" s="3"/>
      <c r="DV221" s="3"/>
      <c r="DW221" s="3"/>
      <c r="DX221" s="3"/>
      <c r="EB221" s="3"/>
      <c r="EC221" s="3"/>
      <c r="ED221" s="3"/>
    </row>
    <row r="222" spans="1:142" ht="15" customHeight="1" x14ac:dyDescent="0.25">
      <c r="A222" s="6" t="s">
        <v>361</v>
      </c>
      <c r="B222" s="2" t="s">
        <v>784</v>
      </c>
      <c r="C222" s="2" t="s">
        <v>1389</v>
      </c>
      <c r="D222" s="25" t="s">
        <v>1183</v>
      </c>
      <c r="E222" s="4" t="s">
        <v>1190</v>
      </c>
      <c r="F222" s="4" t="s">
        <v>1068</v>
      </c>
      <c r="G222" s="26">
        <v>1990</v>
      </c>
      <c r="H222" s="5"/>
      <c r="I222" s="5"/>
      <c r="J222" s="5"/>
      <c r="M222" s="5"/>
      <c r="N222" s="2" t="s">
        <v>1390</v>
      </c>
      <c r="O222" s="28" t="s">
        <v>2566</v>
      </c>
      <c r="P222" s="3"/>
      <c r="Q222" s="27">
        <v>2</v>
      </c>
      <c r="R222" s="3"/>
      <c r="S222" s="3"/>
      <c r="T222" s="3"/>
      <c r="U222" s="3"/>
      <c r="V222" s="3"/>
      <c r="W222" s="3">
        <v>4</v>
      </c>
      <c r="X222" s="3"/>
      <c r="Z222" s="3"/>
      <c r="AA222" s="3"/>
      <c r="AB222" s="3">
        <v>8</v>
      </c>
      <c r="AC222" s="3">
        <v>5</v>
      </c>
      <c r="AD222" s="3"/>
      <c r="AE222" s="3"/>
      <c r="AF222" s="3">
        <v>1</v>
      </c>
      <c r="AG222" s="3"/>
      <c r="AH222" s="3"/>
      <c r="AI222" s="3"/>
      <c r="AJ222" s="3">
        <v>7</v>
      </c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>
        <v>3</v>
      </c>
      <c r="AY222" s="3"/>
      <c r="AZ222" s="3">
        <v>5</v>
      </c>
      <c r="BA222" s="3">
        <v>1</v>
      </c>
      <c r="BB222" s="3">
        <v>9</v>
      </c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>
        <v>9</v>
      </c>
      <c r="BN222" s="3"/>
      <c r="BO222" s="3"/>
      <c r="BP222" s="3"/>
      <c r="BQ222" s="3">
        <v>6</v>
      </c>
      <c r="BR222" s="3">
        <v>9</v>
      </c>
      <c r="BS222" s="3">
        <v>9</v>
      </c>
      <c r="BT222" s="19">
        <v>9</v>
      </c>
      <c r="BU222" s="3"/>
      <c r="BV222" s="19">
        <v>9</v>
      </c>
      <c r="BW222" s="19">
        <v>9</v>
      </c>
      <c r="BX222" s="19">
        <v>9</v>
      </c>
      <c r="BY222" s="19">
        <v>9</v>
      </c>
      <c r="BZ222" s="19">
        <v>9</v>
      </c>
      <c r="CA222" s="19">
        <v>9</v>
      </c>
      <c r="CB222" s="19">
        <v>9</v>
      </c>
      <c r="CC222" s="19">
        <v>1</v>
      </c>
      <c r="CD222" s="3">
        <v>1</v>
      </c>
      <c r="CE222" s="19">
        <v>9</v>
      </c>
      <c r="CF222" s="3">
        <v>1</v>
      </c>
      <c r="CG222" s="19">
        <v>9</v>
      </c>
      <c r="CH222" s="3">
        <v>1</v>
      </c>
      <c r="CI222" s="3">
        <v>1</v>
      </c>
      <c r="CJ222" s="3">
        <v>9</v>
      </c>
      <c r="CK222" s="3">
        <v>5</v>
      </c>
      <c r="CL222" s="3">
        <v>3</v>
      </c>
      <c r="CM222" s="3" t="s">
        <v>1185</v>
      </c>
      <c r="CN222" s="3" t="s">
        <v>1185</v>
      </c>
      <c r="CO222" s="3" t="s">
        <v>1185</v>
      </c>
      <c r="CP222" s="3" t="s">
        <v>1185</v>
      </c>
      <c r="CQ222" s="3" t="s">
        <v>1185</v>
      </c>
      <c r="CR222" s="3" t="s">
        <v>1185</v>
      </c>
      <c r="CS222" s="3" t="s">
        <v>1185</v>
      </c>
      <c r="CT222" s="3">
        <v>9</v>
      </c>
      <c r="CU222" s="3">
        <v>9</v>
      </c>
      <c r="CV222" s="3">
        <v>8</v>
      </c>
      <c r="CW222" s="3">
        <v>1</v>
      </c>
      <c r="CX222" s="3">
        <v>9</v>
      </c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R222" s="3"/>
      <c r="EA222" s="3"/>
      <c r="EB222" s="3"/>
      <c r="EC222" s="3"/>
      <c r="ED222" s="3"/>
    </row>
    <row r="223" spans="1:142" ht="15" customHeight="1" x14ac:dyDescent="0.25">
      <c r="A223" s="6" t="s">
        <v>362</v>
      </c>
      <c r="B223" s="2" t="s">
        <v>784</v>
      </c>
      <c r="C223" s="2" t="s">
        <v>1391</v>
      </c>
      <c r="D223" s="25" t="s">
        <v>1183</v>
      </c>
      <c r="E223" s="4" t="s">
        <v>1190</v>
      </c>
      <c r="F223" s="4" t="s">
        <v>1068</v>
      </c>
      <c r="G223" s="26">
        <v>1990</v>
      </c>
      <c r="H223" s="5"/>
      <c r="I223" s="5"/>
      <c r="J223" s="5"/>
      <c r="M223" s="5"/>
      <c r="N223" s="2" t="s">
        <v>1392</v>
      </c>
      <c r="O223" s="28" t="s">
        <v>2567</v>
      </c>
      <c r="P223" s="3"/>
      <c r="Q223" s="27">
        <v>2</v>
      </c>
      <c r="R223" s="3"/>
      <c r="S223" s="3"/>
      <c r="T223" s="3"/>
      <c r="U223" s="3"/>
      <c r="V223" s="3"/>
      <c r="W223" s="3">
        <v>4</v>
      </c>
      <c r="X223" s="3"/>
      <c r="Z223" s="3"/>
      <c r="AA223" s="3"/>
      <c r="AB223" s="3">
        <v>8</v>
      </c>
      <c r="AC223" s="3">
        <v>5</v>
      </c>
      <c r="AD223" s="3"/>
      <c r="AE223" s="3"/>
      <c r="AF223" s="3">
        <v>1</v>
      </c>
      <c r="AG223" s="3"/>
      <c r="AH223" s="3"/>
      <c r="AI223" s="3"/>
      <c r="AJ223" s="3">
        <v>7</v>
      </c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>
        <v>4</v>
      </c>
      <c r="AY223" s="3"/>
      <c r="AZ223" s="3">
        <v>5</v>
      </c>
      <c r="BA223" s="3">
        <v>1</v>
      </c>
      <c r="BB223" s="3">
        <v>9</v>
      </c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>
        <v>9</v>
      </c>
      <c r="BN223" s="3"/>
      <c r="BO223" s="3"/>
      <c r="BP223" s="3"/>
      <c r="BQ223" s="3">
        <v>7</v>
      </c>
      <c r="BR223" s="3">
        <v>8</v>
      </c>
      <c r="BS223" s="3">
        <v>8</v>
      </c>
      <c r="BT223" s="19">
        <v>9</v>
      </c>
      <c r="BU223" s="3"/>
      <c r="BV223" s="19">
        <v>9</v>
      </c>
      <c r="BW223" s="19">
        <v>9</v>
      </c>
      <c r="BX223" s="19">
        <v>9</v>
      </c>
      <c r="BY223" s="19">
        <v>9</v>
      </c>
      <c r="BZ223" s="19">
        <v>9</v>
      </c>
      <c r="CA223" s="19">
        <v>9</v>
      </c>
      <c r="CB223" s="19">
        <v>8</v>
      </c>
      <c r="CC223" s="19">
        <v>8</v>
      </c>
      <c r="CD223" s="3">
        <v>9</v>
      </c>
      <c r="CE223" s="19">
        <v>9</v>
      </c>
      <c r="CF223" s="3">
        <v>7</v>
      </c>
      <c r="CG223" s="19">
        <v>7</v>
      </c>
      <c r="CH223" s="3">
        <v>8</v>
      </c>
      <c r="CI223" s="3">
        <v>9</v>
      </c>
      <c r="CJ223" s="3">
        <v>9</v>
      </c>
      <c r="CK223" s="3">
        <v>9</v>
      </c>
      <c r="CL223" s="3">
        <v>9</v>
      </c>
      <c r="CM223" s="3" t="s">
        <v>1185</v>
      </c>
      <c r="CN223" s="3" t="s">
        <v>1185</v>
      </c>
      <c r="CO223" s="3" t="s">
        <v>1185</v>
      </c>
      <c r="CP223" s="3"/>
      <c r="CQ223" s="3" t="s">
        <v>1185</v>
      </c>
      <c r="CR223" s="3" t="s">
        <v>1185</v>
      </c>
      <c r="CS223" s="3" t="s">
        <v>1185</v>
      </c>
      <c r="CT223" s="3">
        <v>8</v>
      </c>
      <c r="CU223" s="3">
        <v>9</v>
      </c>
      <c r="CV223" s="3">
        <v>6</v>
      </c>
      <c r="CW223" s="3">
        <v>8</v>
      </c>
      <c r="CX223" s="3">
        <v>9</v>
      </c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R223" s="3"/>
    </row>
    <row r="224" spans="1:142" ht="15" customHeight="1" x14ac:dyDescent="0.25">
      <c r="A224" s="6" t="s">
        <v>363</v>
      </c>
      <c r="B224" s="2" t="s">
        <v>784</v>
      </c>
      <c r="C224" s="2" t="s">
        <v>1393</v>
      </c>
      <c r="D224" s="25" t="s">
        <v>1183</v>
      </c>
      <c r="E224" s="4" t="s">
        <v>1190</v>
      </c>
      <c r="F224" s="4" t="s">
        <v>1068</v>
      </c>
      <c r="G224" s="26">
        <v>1990</v>
      </c>
      <c r="H224" s="5"/>
      <c r="I224" s="5"/>
      <c r="J224" s="5"/>
      <c r="M224" s="5"/>
      <c r="N224" s="2" t="s">
        <v>1394</v>
      </c>
      <c r="O224" s="28" t="s">
        <v>2568</v>
      </c>
      <c r="P224" s="3"/>
      <c r="Q224" s="27">
        <v>2</v>
      </c>
      <c r="R224" s="3"/>
      <c r="S224" s="3"/>
      <c r="T224" s="3"/>
      <c r="U224" s="3"/>
      <c r="V224" s="3"/>
      <c r="W224" s="3">
        <v>4</v>
      </c>
      <c r="X224" s="3"/>
      <c r="Z224" s="3"/>
      <c r="AA224" s="3"/>
      <c r="AB224" s="3"/>
      <c r="AC224" s="3"/>
      <c r="AD224" s="3"/>
      <c r="AE224" s="3"/>
      <c r="AF224" s="3">
        <v>1</v>
      </c>
      <c r="AG224" s="3"/>
      <c r="AH224" s="3"/>
      <c r="AI224" s="3"/>
      <c r="AJ224" s="3">
        <v>8</v>
      </c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>
        <v>5</v>
      </c>
      <c r="AY224" s="3"/>
      <c r="AZ224" s="3">
        <v>8</v>
      </c>
      <c r="BA224" s="3">
        <v>1</v>
      </c>
      <c r="BB224" s="3">
        <v>9</v>
      </c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>
        <v>9</v>
      </c>
      <c r="BN224" s="3"/>
      <c r="BO224" s="3"/>
      <c r="BP224" s="3"/>
      <c r="BQ224" s="3">
        <v>5</v>
      </c>
      <c r="BR224" s="3">
        <v>8</v>
      </c>
      <c r="BS224" s="3">
        <v>9</v>
      </c>
      <c r="BT224" s="19">
        <v>9</v>
      </c>
      <c r="BU224" s="3"/>
      <c r="BV224" s="19">
        <v>9</v>
      </c>
      <c r="BW224" s="19">
        <v>9</v>
      </c>
      <c r="BX224" s="19">
        <v>7</v>
      </c>
      <c r="BY224" s="19">
        <v>7</v>
      </c>
      <c r="BZ224" s="19">
        <v>9</v>
      </c>
      <c r="CA224" s="19">
        <v>7</v>
      </c>
      <c r="CB224" s="19">
        <v>8</v>
      </c>
      <c r="CC224" s="19">
        <v>1</v>
      </c>
      <c r="CD224" s="3">
        <v>1</v>
      </c>
      <c r="CE224" s="19">
        <v>9</v>
      </c>
      <c r="CF224" s="3">
        <v>1</v>
      </c>
      <c r="CG224" s="19">
        <v>7</v>
      </c>
      <c r="CH224" s="3">
        <v>1</v>
      </c>
      <c r="CI224" s="3">
        <v>1</v>
      </c>
      <c r="CJ224" s="3">
        <v>8</v>
      </c>
      <c r="CK224" s="3">
        <v>5</v>
      </c>
      <c r="CL224" s="3">
        <v>4</v>
      </c>
      <c r="CM224" s="3" t="s">
        <v>1185</v>
      </c>
      <c r="CN224" s="3" t="s">
        <v>1185</v>
      </c>
      <c r="CO224" s="3" t="s">
        <v>1185</v>
      </c>
      <c r="CP224" s="3" t="s">
        <v>1185</v>
      </c>
      <c r="CQ224" s="3" t="s">
        <v>1185</v>
      </c>
      <c r="CR224" s="3" t="s">
        <v>1185</v>
      </c>
      <c r="CS224" s="3" t="s">
        <v>1185</v>
      </c>
      <c r="CT224" s="3">
        <v>8</v>
      </c>
      <c r="CU224" s="3">
        <v>9</v>
      </c>
      <c r="CV224" s="3">
        <v>8</v>
      </c>
      <c r="CW224" s="3">
        <v>9</v>
      </c>
      <c r="CX224" s="3">
        <v>7</v>
      </c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R224" s="3"/>
      <c r="EA224" s="3"/>
      <c r="EE224" s="3"/>
      <c r="EF224" s="3"/>
      <c r="EG224" s="3"/>
      <c r="EH224" s="3"/>
      <c r="EI224" s="3"/>
      <c r="EJ224" s="3"/>
      <c r="EK224" s="3"/>
      <c r="EL224" s="3"/>
    </row>
    <row r="225" spans="1:142" ht="15" customHeight="1" x14ac:dyDescent="0.25">
      <c r="A225" s="6" t="s">
        <v>364</v>
      </c>
      <c r="B225" s="2" t="s">
        <v>784</v>
      </c>
      <c r="C225" s="2" t="s">
        <v>1395</v>
      </c>
      <c r="D225" s="25" t="s">
        <v>1183</v>
      </c>
      <c r="E225" s="4" t="s">
        <v>1190</v>
      </c>
      <c r="F225" s="4" t="s">
        <v>1068</v>
      </c>
      <c r="G225" s="26">
        <v>1990</v>
      </c>
      <c r="I225" s="5"/>
      <c r="J225" s="5"/>
      <c r="M225" s="5"/>
      <c r="N225" s="2" t="s">
        <v>1396</v>
      </c>
      <c r="O225" s="28" t="s">
        <v>2569</v>
      </c>
      <c r="P225" s="3"/>
      <c r="Q225" s="27">
        <v>2</v>
      </c>
      <c r="R225" s="3"/>
      <c r="S225" s="3"/>
      <c r="T225" s="3"/>
      <c r="U225" s="3"/>
      <c r="V225" s="3"/>
      <c r="W225" s="3">
        <v>4</v>
      </c>
      <c r="X225" s="3"/>
      <c r="Z225" s="3"/>
      <c r="AA225" s="3"/>
      <c r="AB225" s="3">
        <v>8</v>
      </c>
      <c r="AC225" s="3">
        <v>5</v>
      </c>
      <c r="AD225" s="3"/>
      <c r="AE225" s="3"/>
      <c r="AF225" s="3">
        <v>1</v>
      </c>
      <c r="AG225" s="3"/>
      <c r="AH225" s="3"/>
      <c r="AI225" s="3"/>
      <c r="AJ225" s="3">
        <v>7</v>
      </c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>
        <v>5</v>
      </c>
      <c r="AY225" s="3"/>
      <c r="AZ225" s="3"/>
      <c r="BA225" s="3">
        <v>1</v>
      </c>
      <c r="BB225" s="3">
        <v>9</v>
      </c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>
        <v>9</v>
      </c>
      <c r="BN225" s="3"/>
      <c r="BO225" s="3"/>
      <c r="BP225" s="3"/>
      <c r="BQ225" s="3">
        <v>8</v>
      </c>
      <c r="BR225" s="3">
        <v>8</v>
      </c>
      <c r="BS225" s="3">
        <v>7</v>
      </c>
      <c r="BT225" s="3"/>
      <c r="BU225" s="3"/>
      <c r="BV225" s="19">
        <v>9</v>
      </c>
      <c r="BW225" s="19">
        <v>9</v>
      </c>
      <c r="BX225" s="19">
        <v>8</v>
      </c>
      <c r="BY225" s="19">
        <v>9</v>
      </c>
      <c r="BZ225" s="19">
        <v>9</v>
      </c>
      <c r="CA225" s="19">
        <v>6</v>
      </c>
      <c r="CB225" s="19">
        <v>9</v>
      </c>
      <c r="CC225" s="19">
        <v>8</v>
      </c>
      <c r="CD225" s="3">
        <v>9</v>
      </c>
      <c r="CE225" s="19">
        <v>9</v>
      </c>
      <c r="CF225" s="3">
        <v>9</v>
      </c>
      <c r="CG225" s="19">
        <v>9</v>
      </c>
      <c r="CH225" s="3">
        <v>9</v>
      </c>
      <c r="CI225" s="3">
        <v>5</v>
      </c>
      <c r="CJ225" s="3">
        <v>9</v>
      </c>
      <c r="CK225" s="3">
        <v>9</v>
      </c>
      <c r="CL225" s="3">
        <v>7</v>
      </c>
      <c r="CM225" s="3" t="s">
        <v>1185</v>
      </c>
      <c r="CN225" s="3" t="s">
        <v>1185</v>
      </c>
      <c r="CO225" s="3" t="s">
        <v>1185</v>
      </c>
      <c r="CP225" s="3" t="s">
        <v>1185</v>
      </c>
      <c r="CQ225" s="3" t="s">
        <v>1185</v>
      </c>
      <c r="CR225" s="3" t="s">
        <v>1185</v>
      </c>
      <c r="CS225" s="3" t="s">
        <v>1185</v>
      </c>
      <c r="CT225" s="3">
        <v>8</v>
      </c>
      <c r="CU225" s="3">
        <v>9</v>
      </c>
      <c r="CV225" s="3">
        <v>7</v>
      </c>
      <c r="CW225" s="3">
        <v>4</v>
      </c>
      <c r="CX225" s="3">
        <v>5</v>
      </c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R225" s="3"/>
    </row>
    <row r="226" spans="1:142" ht="15" customHeight="1" x14ac:dyDescent="0.25">
      <c r="A226" s="6" t="s">
        <v>365</v>
      </c>
      <c r="B226" s="2" t="s">
        <v>784</v>
      </c>
      <c r="C226" s="2" t="s">
        <v>1397</v>
      </c>
      <c r="D226" s="25" t="s">
        <v>1183</v>
      </c>
      <c r="E226" s="4" t="s">
        <v>1190</v>
      </c>
      <c r="F226" s="4" t="s">
        <v>1068</v>
      </c>
      <c r="G226" s="26">
        <v>1990</v>
      </c>
      <c r="I226" s="5"/>
      <c r="J226" s="5"/>
      <c r="M226" s="5"/>
      <c r="N226" s="2" t="s">
        <v>1398</v>
      </c>
      <c r="O226" s="28" t="s">
        <v>2570</v>
      </c>
      <c r="P226" s="3"/>
      <c r="Q226" s="27">
        <v>2</v>
      </c>
      <c r="R226" s="3"/>
      <c r="S226" s="3"/>
      <c r="T226" s="3"/>
      <c r="U226" s="3"/>
      <c r="V226" s="3"/>
      <c r="W226" s="3">
        <v>4</v>
      </c>
      <c r="X226" s="3"/>
      <c r="Z226" s="3"/>
      <c r="AA226" s="3"/>
      <c r="AB226" s="3">
        <v>8</v>
      </c>
      <c r="AC226" s="3">
        <v>6</v>
      </c>
      <c r="AD226" s="3"/>
      <c r="AE226" s="3"/>
      <c r="AF226" s="3">
        <v>1</v>
      </c>
      <c r="AG226" s="3"/>
      <c r="AH226" s="3"/>
      <c r="AI226" s="3"/>
      <c r="AJ226" s="3">
        <v>7</v>
      </c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>
        <v>5</v>
      </c>
      <c r="AY226" s="3"/>
      <c r="AZ226" s="3">
        <v>5</v>
      </c>
      <c r="BA226" s="3">
        <v>1</v>
      </c>
      <c r="BB226" s="3">
        <v>9</v>
      </c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>
        <v>9</v>
      </c>
      <c r="BN226" s="3"/>
      <c r="BO226" s="3"/>
      <c r="BP226" s="3"/>
      <c r="BQ226" s="3">
        <v>7</v>
      </c>
      <c r="BR226" s="3">
        <v>9</v>
      </c>
      <c r="BS226" s="3">
        <v>9</v>
      </c>
      <c r="BT226" s="19">
        <v>9</v>
      </c>
      <c r="BU226" s="3"/>
      <c r="BV226" s="19">
        <v>9</v>
      </c>
      <c r="BW226" s="19">
        <v>9</v>
      </c>
      <c r="BX226" s="19">
        <v>8</v>
      </c>
      <c r="BY226" s="19">
        <v>9</v>
      </c>
      <c r="BZ226" s="19">
        <v>9</v>
      </c>
      <c r="CA226" s="19">
        <v>5</v>
      </c>
      <c r="CB226" s="19">
        <v>9</v>
      </c>
      <c r="CC226" s="19">
        <v>1</v>
      </c>
      <c r="CD226" s="3">
        <v>1</v>
      </c>
      <c r="CE226" s="19">
        <v>8</v>
      </c>
      <c r="CF226" s="3">
        <v>1</v>
      </c>
      <c r="CG226" s="19">
        <v>9</v>
      </c>
      <c r="CH226" s="3">
        <v>1</v>
      </c>
      <c r="CI226" s="3">
        <v>1</v>
      </c>
      <c r="CJ226" s="3">
        <v>8</v>
      </c>
      <c r="CK226" s="3">
        <v>5</v>
      </c>
      <c r="CL226" s="3">
        <v>3</v>
      </c>
      <c r="CM226" s="3" t="s">
        <v>1185</v>
      </c>
      <c r="CN226" s="3" t="s">
        <v>1185</v>
      </c>
      <c r="CO226" s="3" t="s">
        <v>1185</v>
      </c>
      <c r="CP226" s="3" t="s">
        <v>1185</v>
      </c>
      <c r="CQ226" s="3" t="s">
        <v>1185</v>
      </c>
      <c r="CR226" s="3" t="s">
        <v>1185</v>
      </c>
      <c r="CS226" s="3" t="s">
        <v>1185</v>
      </c>
      <c r="CT226" s="3">
        <v>9</v>
      </c>
      <c r="CU226" s="3">
        <v>9</v>
      </c>
      <c r="CV226" s="3">
        <v>7</v>
      </c>
      <c r="CW226" s="3">
        <v>7</v>
      </c>
      <c r="CX226" s="3">
        <v>9</v>
      </c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R226" s="3"/>
      <c r="DY226" s="3"/>
      <c r="DZ226" s="3"/>
    </row>
    <row r="227" spans="1:142" ht="15" customHeight="1" x14ac:dyDescent="0.25">
      <c r="A227" s="6" t="s">
        <v>366</v>
      </c>
      <c r="B227" s="2" t="s">
        <v>784</v>
      </c>
      <c r="C227" s="2" t="s">
        <v>1399</v>
      </c>
      <c r="D227" s="25" t="s">
        <v>1183</v>
      </c>
      <c r="E227" s="4" t="s">
        <v>1190</v>
      </c>
      <c r="F227" s="4" t="s">
        <v>1068</v>
      </c>
      <c r="G227" s="26">
        <v>1990</v>
      </c>
      <c r="I227" s="5"/>
      <c r="J227" s="5"/>
      <c r="M227" s="5"/>
      <c r="N227" s="2" t="s">
        <v>1400</v>
      </c>
      <c r="O227" s="28" t="s">
        <v>2571</v>
      </c>
      <c r="P227" s="3"/>
      <c r="Q227" s="27">
        <v>2</v>
      </c>
      <c r="R227" s="3"/>
      <c r="S227" s="3"/>
      <c r="T227" s="3"/>
      <c r="U227" s="3"/>
      <c r="V227" s="3"/>
      <c r="W227" s="3">
        <v>4</v>
      </c>
      <c r="X227" s="3"/>
      <c r="Z227" s="3"/>
      <c r="AA227" s="3"/>
      <c r="AB227" s="3">
        <v>7</v>
      </c>
      <c r="AC227" s="3">
        <v>4</v>
      </c>
      <c r="AD227" s="3"/>
      <c r="AE227" s="3"/>
      <c r="AF227" s="3">
        <v>1</v>
      </c>
      <c r="AG227" s="3"/>
      <c r="AH227" s="3"/>
      <c r="AI227" s="3"/>
      <c r="AJ227" s="3">
        <v>8</v>
      </c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>
        <v>3</v>
      </c>
      <c r="AY227" s="3"/>
      <c r="AZ227" s="3">
        <v>5</v>
      </c>
      <c r="BA227" s="3">
        <v>1</v>
      </c>
      <c r="BB227" s="3">
        <v>9</v>
      </c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>
        <v>9</v>
      </c>
      <c r="BN227" s="3"/>
      <c r="BO227" s="3"/>
      <c r="BP227" s="3"/>
      <c r="BQ227" s="3">
        <v>9</v>
      </c>
      <c r="BR227" s="3">
        <v>7</v>
      </c>
      <c r="BS227" s="3">
        <v>7</v>
      </c>
      <c r="BT227" s="19">
        <v>9</v>
      </c>
      <c r="BU227" s="3">
        <v>1</v>
      </c>
      <c r="BV227" s="19">
        <v>7</v>
      </c>
      <c r="BW227" s="19">
        <v>9</v>
      </c>
      <c r="BX227" s="19">
        <v>9</v>
      </c>
      <c r="BY227" s="3"/>
      <c r="BZ227" s="19">
        <v>6</v>
      </c>
      <c r="CA227" s="19">
        <v>9</v>
      </c>
      <c r="CB227" s="19">
        <v>9</v>
      </c>
      <c r="CC227" s="19">
        <v>1</v>
      </c>
      <c r="CD227" s="3">
        <v>1</v>
      </c>
      <c r="CE227" s="19">
        <v>9</v>
      </c>
      <c r="CF227" s="3">
        <v>1</v>
      </c>
      <c r="CG227" s="3"/>
      <c r="CH227" s="3">
        <v>1</v>
      </c>
      <c r="CI227" s="3">
        <v>3</v>
      </c>
      <c r="CJ227" s="3">
        <v>7</v>
      </c>
      <c r="CK227" s="3">
        <v>2</v>
      </c>
      <c r="CL227" s="3">
        <v>5</v>
      </c>
      <c r="CM227" s="3" t="s">
        <v>1185</v>
      </c>
      <c r="CN227" s="3" t="s">
        <v>1185</v>
      </c>
      <c r="CO227" s="3" t="s">
        <v>1185</v>
      </c>
      <c r="CP227" s="3" t="s">
        <v>1185</v>
      </c>
      <c r="CQ227" s="3" t="s">
        <v>1185</v>
      </c>
      <c r="CR227" s="3" t="s">
        <v>1185</v>
      </c>
      <c r="CS227" s="3" t="s">
        <v>1185</v>
      </c>
      <c r="CT227" s="3">
        <v>8</v>
      </c>
      <c r="CU227" s="3">
        <v>9</v>
      </c>
      <c r="CV227" s="3">
        <v>5</v>
      </c>
      <c r="CW227" s="3">
        <v>9</v>
      </c>
      <c r="CX227" s="3">
        <v>9</v>
      </c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R227" s="3"/>
      <c r="EA227" s="3"/>
    </row>
    <row r="228" spans="1:142" ht="15" customHeight="1" x14ac:dyDescent="0.25">
      <c r="A228" s="6" t="s">
        <v>367</v>
      </c>
      <c r="B228" s="2" t="s">
        <v>784</v>
      </c>
      <c r="C228" s="2" t="s">
        <v>1401</v>
      </c>
      <c r="D228" s="25" t="s">
        <v>1183</v>
      </c>
      <c r="E228" s="4" t="s">
        <v>1190</v>
      </c>
      <c r="F228" s="4" t="s">
        <v>1068</v>
      </c>
      <c r="G228" s="26">
        <v>1990</v>
      </c>
      <c r="I228" s="5"/>
      <c r="J228" s="5"/>
      <c r="M228" s="5"/>
      <c r="N228" s="2" t="s">
        <v>1402</v>
      </c>
      <c r="O228" s="28" t="s">
        <v>2572</v>
      </c>
      <c r="P228" s="3"/>
      <c r="Q228" s="27">
        <v>2</v>
      </c>
      <c r="R228" s="3"/>
      <c r="S228" s="3"/>
      <c r="T228" s="3"/>
      <c r="U228" s="3"/>
      <c r="V228" s="3"/>
      <c r="W228" s="3">
        <v>4</v>
      </c>
      <c r="X228" s="3"/>
      <c r="Z228" s="3"/>
      <c r="AA228" s="3"/>
      <c r="AB228" s="3">
        <v>8</v>
      </c>
      <c r="AC228" s="3">
        <v>5</v>
      </c>
      <c r="AD228" s="3"/>
      <c r="AE228" s="3"/>
      <c r="AF228" s="3">
        <v>1</v>
      </c>
      <c r="AG228" s="3"/>
      <c r="AH228" s="3"/>
      <c r="AI228" s="3"/>
      <c r="AJ228" s="3">
        <v>7</v>
      </c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>
        <v>5</v>
      </c>
      <c r="AY228" s="3"/>
      <c r="AZ228" s="3"/>
      <c r="BA228" s="3">
        <v>1</v>
      </c>
      <c r="BB228" s="3">
        <v>9</v>
      </c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>
        <v>9</v>
      </c>
      <c r="BN228" s="3"/>
      <c r="BO228" s="3"/>
      <c r="BP228" s="3"/>
      <c r="BQ228" s="3">
        <v>6</v>
      </c>
      <c r="BR228" s="3">
        <v>7</v>
      </c>
      <c r="BS228" s="3">
        <v>7</v>
      </c>
      <c r="BT228" s="19">
        <v>8</v>
      </c>
      <c r="BU228" s="3">
        <v>7</v>
      </c>
      <c r="BV228" s="19">
        <v>5</v>
      </c>
      <c r="BW228" s="19">
        <v>9</v>
      </c>
      <c r="BX228" s="19">
        <v>9</v>
      </c>
      <c r="BY228" s="19">
        <v>5</v>
      </c>
      <c r="BZ228" s="19">
        <v>7</v>
      </c>
      <c r="CA228" s="19">
        <v>7</v>
      </c>
      <c r="CB228" s="19">
        <v>7</v>
      </c>
      <c r="CC228" s="19">
        <v>8</v>
      </c>
      <c r="CD228" s="3">
        <v>9</v>
      </c>
      <c r="CE228" s="19">
        <v>7</v>
      </c>
      <c r="CF228" s="3">
        <v>6</v>
      </c>
      <c r="CG228" s="19">
        <v>9</v>
      </c>
      <c r="CH228" s="3">
        <v>9</v>
      </c>
      <c r="CI228" s="3">
        <v>7</v>
      </c>
      <c r="CJ228" s="3">
        <v>5</v>
      </c>
      <c r="CK228" s="3">
        <v>9</v>
      </c>
      <c r="CL228" s="3">
        <v>5</v>
      </c>
      <c r="CM228" s="3" t="s">
        <v>1185</v>
      </c>
      <c r="CN228" s="3" t="s">
        <v>1185</v>
      </c>
      <c r="CO228" s="3" t="s">
        <v>1185</v>
      </c>
      <c r="CP228" s="3"/>
      <c r="CQ228" s="3" t="s">
        <v>1185</v>
      </c>
      <c r="CR228" s="3" t="s">
        <v>1185</v>
      </c>
      <c r="CS228" s="3" t="s">
        <v>1185</v>
      </c>
      <c r="CT228" s="3">
        <v>7</v>
      </c>
      <c r="CU228" s="3"/>
      <c r="CV228" s="3">
        <v>7</v>
      </c>
      <c r="CW228" s="3"/>
      <c r="CX228" s="3">
        <v>9</v>
      </c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R228" s="3"/>
    </row>
    <row r="229" spans="1:142" ht="15" customHeight="1" x14ac:dyDescent="0.25">
      <c r="A229" s="6" t="s">
        <v>368</v>
      </c>
      <c r="B229" s="2" t="s">
        <v>784</v>
      </c>
      <c r="C229" s="2" t="s">
        <v>1403</v>
      </c>
      <c r="D229" s="25" t="s">
        <v>1183</v>
      </c>
      <c r="E229" s="4" t="s">
        <v>1190</v>
      </c>
      <c r="F229" s="4" t="s">
        <v>1068</v>
      </c>
      <c r="G229" s="26">
        <v>1990</v>
      </c>
      <c r="I229" s="5"/>
      <c r="J229" s="5"/>
      <c r="M229" s="5"/>
      <c r="N229" s="2" t="s">
        <v>1404</v>
      </c>
      <c r="O229" s="28" t="s">
        <v>2573</v>
      </c>
      <c r="P229" s="3"/>
      <c r="Q229" s="27">
        <v>2</v>
      </c>
      <c r="R229" s="3"/>
      <c r="S229" s="3"/>
      <c r="T229" s="3"/>
      <c r="U229" s="3"/>
      <c r="V229" s="3"/>
      <c r="W229" s="3">
        <v>4</v>
      </c>
      <c r="X229" s="3"/>
      <c r="Z229" s="3"/>
      <c r="AA229" s="3"/>
      <c r="AB229" s="3"/>
      <c r="AC229" s="3"/>
      <c r="AD229" s="3"/>
      <c r="AE229" s="3"/>
      <c r="AF229" s="3">
        <v>1</v>
      </c>
      <c r="AG229" s="3"/>
      <c r="AH229" s="3"/>
      <c r="AI229" s="3"/>
      <c r="AJ229" s="3">
        <v>7</v>
      </c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>
        <v>5</v>
      </c>
      <c r="AY229" s="3"/>
      <c r="AZ229" s="3">
        <v>6</v>
      </c>
      <c r="BA229" s="3">
        <v>1</v>
      </c>
      <c r="BB229" s="3">
        <v>9</v>
      </c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>
        <v>9</v>
      </c>
      <c r="BN229" s="3"/>
      <c r="BO229" s="3"/>
      <c r="BP229" s="3"/>
      <c r="BQ229" s="3">
        <v>9</v>
      </c>
      <c r="BR229" s="3">
        <v>9</v>
      </c>
      <c r="BS229" s="3">
        <v>9</v>
      </c>
      <c r="BT229" s="19">
        <v>9</v>
      </c>
      <c r="BU229" s="3">
        <v>5</v>
      </c>
      <c r="BV229" s="19">
        <v>7</v>
      </c>
      <c r="BW229" s="19">
        <v>9</v>
      </c>
      <c r="BX229" s="19">
        <v>9</v>
      </c>
      <c r="BY229" s="3"/>
      <c r="BZ229" s="19">
        <v>9</v>
      </c>
      <c r="CA229" s="19">
        <v>9</v>
      </c>
      <c r="CB229" s="19">
        <v>9</v>
      </c>
      <c r="CC229" s="19">
        <v>9</v>
      </c>
      <c r="CD229" s="3">
        <v>9</v>
      </c>
      <c r="CE229" s="19">
        <v>8</v>
      </c>
      <c r="CF229" s="3">
        <v>9</v>
      </c>
      <c r="CG229" s="3"/>
      <c r="CH229" s="3">
        <v>9</v>
      </c>
      <c r="CI229" s="3">
        <v>9</v>
      </c>
      <c r="CJ229" s="3">
        <v>5</v>
      </c>
      <c r="CK229" s="3">
        <v>9</v>
      </c>
      <c r="CL229" s="3">
        <v>9</v>
      </c>
      <c r="CM229" s="3" t="s">
        <v>1185</v>
      </c>
      <c r="CN229" s="3" t="s">
        <v>1185</v>
      </c>
      <c r="CO229" s="3" t="s">
        <v>1185</v>
      </c>
      <c r="CP229" s="3"/>
      <c r="CQ229" s="3" t="s">
        <v>1185</v>
      </c>
      <c r="CR229" s="3" t="s">
        <v>1185</v>
      </c>
      <c r="CS229" s="3" t="s">
        <v>1185</v>
      </c>
      <c r="CT229" s="3">
        <v>8</v>
      </c>
      <c r="CU229" s="3">
        <v>9</v>
      </c>
      <c r="CV229" s="3">
        <v>9</v>
      </c>
      <c r="CW229" s="3">
        <v>9</v>
      </c>
      <c r="CX229" s="3">
        <v>9</v>
      </c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R229" s="3"/>
    </row>
    <row r="230" spans="1:142" ht="15" customHeight="1" x14ac:dyDescent="0.25">
      <c r="A230" s="6" t="s">
        <v>369</v>
      </c>
      <c r="B230" s="2" t="s">
        <v>784</v>
      </c>
      <c r="C230" s="2" t="s">
        <v>1405</v>
      </c>
      <c r="D230" s="25" t="s">
        <v>1183</v>
      </c>
      <c r="E230" s="4" t="s">
        <v>1190</v>
      </c>
      <c r="F230" s="4" t="s">
        <v>1068</v>
      </c>
      <c r="G230" s="26">
        <v>1990</v>
      </c>
      <c r="H230" s="5"/>
      <c r="I230" s="5"/>
      <c r="J230" s="5"/>
      <c r="M230" s="5"/>
      <c r="N230" s="2" t="s">
        <v>1406</v>
      </c>
      <c r="O230" s="28" t="s">
        <v>2574</v>
      </c>
      <c r="P230" s="3"/>
      <c r="Q230" s="27">
        <v>2</v>
      </c>
      <c r="R230" s="3"/>
      <c r="S230" s="3"/>
      <c r="T230" s="3"/>
      <c r="U230" s="3"/>
      <c r="V230" s="3"/>
      <c r="W230" s="3">
        <v>4</v>
      </c>
      <c r="X230" s="3"/>
      <c r="Z230" s="3"/>
      <c r="AA230" s="3"/>
      <c r="AB230" s="3">
        <v>8</v>
      </c>
      <c r="AC230" s="3">
        <v>5</v>
      </c>
      <c r="AD230" s="3"/>
      <c r="AE230" s="3"/>
      <c r="AF230" s="3">
        <v>1</v>
      </c>
      <c r="AG230" s="3"/>
      <c r="AH230" s="3"/>
      <c r="AI230" s="3"/>
      <c r="AJ230" s="3">
        <v>7</v>
      </c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>
        <v>4</v>
      </c>
      <c r="AY230" s="3"/>
      <c r="AZ230" s="3">
        <v>5</v>
      </c>
      <c r="BA230" s="3">
        <v>1</v>
      </c>
      <c r="BB230" s="3">
        <v>9</v>
      </c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>
        <v>9</v>
      </c>
      <c r="BN230" s="3"/>
      <c r="BO230" s="3"/>
      <c r="BP230" s="3"/>
      <c r="BQ230" s="3">
        <v>6</v>
      </c>
      <c r="BR230" s="3">
        <v>4</v>
      </c>
      <c r="BS230" s="3">
        <v>4</v>
      </c>
      <c r="BT230" s="3"/>
      <c r="BU230" s="3">
        <v>5</v>
      </c>
      <c r="BV230" s="19">
        <v>5</v>
      </c>
      <c r="BW230" s="19">
        <v>9</v>
      </c>
      <c r="BX230" s="19">
        <v>5</v>
      </c>
      <c r="BY230" s="19">
        <v>3</v>
      </c>
      <c r="BZ230" s="19">
        <v>4</v>
      </c>
      <c r="CA230" s="19">
        <v>2</v>
      </c>
      <c r="CB230" s="19">
        <v>6</v>
      </c>
      <c r="CC230" s="19">
        <v>8</v>
      </c>
      <c r="CD230" s="3">
        <v>7</v>
      </c>
      <c r="CE230" s="19">
        <v>7</v>
      </c>
      <c r="CF230" s="3">
        <v>5</v>
      </c>
      <c r="CG230" s="19">
        <v>5</v>
      </c>
      <c r="CH230" s="3">
        <v>8</v>
      </c>
      <c r="CI230" s="3">
        <v>7</v>
      </c>
      <c r="CJ230" s="3">
        <v>6</v>
      </c>
      <c r="CK230" s="3">
        <v>5</v>
      </c>
      <c r="CL230" s="3">
        <v>5</v>
      </c>
      <c r="CM230" s="3" t="s">
        <v>1185</v>
      </c>
      <c r="CN230" s="3" t="s">
        <v>1185</v>
      </c>
      <c r="CO230" s="3" t="s">
        <v>1185</v>
      </c>
      <c r="CP230" s="3" t="s">
        <v>1185</v>
      </c>
      <c r="CQ230" s="3" t="s">
        <v>1185</v>
      </c>
      <c r="CR230" s="3" t="s">
        <v>1185</v>
      </c>
      <c r="CS230" s="3" t="s">
        <v>1185</v>
      </c>
      <c r="CT230" s="3">
        <v>3</v>
      </c>
      <c r="CU230" s="3">
        <v>9</v>
      </c>
      <c r="CV230" s="3">
        <v>6</v>
      </c>
      <c r="CW230" s="3">
        <v>4</v>
      </c>
      <c r="CX230" s="3">
        <v>7</v>
      </c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R230" s="3"/>
      <c r="EA230" s="3"/>
    </row>
    <row r="231" spans="1:142" ht="15" customHeight="1" x14ac:dyDescent="0.25">
      <c r="A231" s="6" t="s">
        <v>370</v>
      </c>
      <c r="B231" s="2" t="s">
        <v>784</v>
      </c>
      <c r="C231" s="2" t="s">
        <v>1407</v>
      </c>
      <c r="D231" s="25" t="s">
        <v>1183</v>
      </c>
      <c r="E231" s="4" t="s">
        <v>1190</v>
      </c>
      <c r="F231" s="4" t="s">
        <v>1408</v>
      </c>
      <c r="G231" s="26">
        <v>1991</v>
      </c>
      <c r="H231" s="5"/>
      <c r="I231" s="5"/>
      <c r="J231" s="5"/>
      <c r="M231" s="5"/>
      <c r="N231" s="2" t="s">
        <v>1409</v>
      </c>
      <c r="O231" s="28" t="s">
        <v>2575</v>
      </c>
      <c r="P231" s="3"/>
      <c r="Q231" s="27">
        <v>2</v>
      </c>
      <c r="R231" s="3"/>
      <c r="S231" s="3"/>
      <c r="T231" s="3"/>
      <c r="U231" s="3"/>
      <c r="V231" s="3"/>
      <c r="W231" s="3">
        <v>4</v>
      </c>
      <c r="X231" s="3"/>
      <c r="Z231" s="3"/>
      <c r="AA231" s="3"/>
      <c r="AB231" s="3">
        <v>8</v>
      </c>
      <c r="AC231" s="3">
        <v>6</v>
      </c>
      <c r="AD231" s="3"/>
      <c r="AE231" s="3"/>
      <c r="AF231" s="3">
        <v>1</v>
      </c>
      <c r="AG231" s="3"/>
      <c r="AH231" s="3"/>
      <c r="AI231" s="3"/>
      <c r="AJ231" s="3">
        <v>5</v>
      </c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>
        <v>3</v>
      </c>
      <c r="AY231" s="3"/>
      <c r="AZ231" s="3"/>
      <c r="BA231" s="3">
        <v>1</v>
      </c>
      <c r="BB231" s="3">
        <v>9</v>
      </c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>
        <v>9</v>
      </c>
      <c r="BN231" s="3"/>
      <c r="BO231" s="3"/>
      <c r="BP231" s="3"/>
      <c r="BQ231" s="3">
        <v>7</v>
      </c>
      <c r="BR231" s="3">
        <v>5</v>
      </c>
      <c r="BS231" s="3"/>
      <c r="BT231" s="19">
        <v>7</v>
      </c>
      <c r="BU231" s="3">
        <v>7</v>
      </c>
      <c r="BV231" s="19">
        <v>6</v>
      </c>
      <c r="BW231" s="19">
        <v>5</v>
      </c>
      <c r="BX231" s="19">
        <v>5</v>
      </c>
      <c r="BY231" s="3"/>
      <c r="BZ231" s="19">
        <v>9</v>
      </c>
      <c r="CA231" s="19">
        <v>6</v>
      </c>
      <c r="CB231" s="19">
        <v>4</v>
      </c>
      <c r="CC231" s="19">
        <v>5</v>
      </c>
      <c r="CD231" s="3">
        <v>7</v>
      </c>
      <c r="CE231" s="19">
        <v>3</v>
      </c>
      <c r="CF231" s="19">
        <v>5</v>
      </c>
      <c r="CG231" s="3"/>
      <c r="CH231" s="3">
        <v>8</v>
      </c>
      <c r="CI231" s="3">
        <v>6</v>
      </c>
      <c r="CJ231" s="19">
        <v>7</v>
      </c>
      <c r="CK231" s="19">
        <v>5</v>
      </c>
      <c r="CL231" s="19">
        <v>8</v>
      </c>
      <c r="CM231" s="19">
        <v>6</v>
      </c>
      <c r="CN231" s="3" t="s">
        <v>1185</v>
      </c>
      <c r="CO231" s="3" t="s">
        <v>1185</v>
      </c>
      <c r="CP231" s="3"/>
      <c r="CQ231" s="3" t="s">
        <v>1185</v>
      </c>
      <c r="CR231" s="3" t="s">
        <v>1185</v>
      </c>
      <c r="CS231" s="3" t="s">
        <v>1185</v>
      </c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R231" s="3"/>
      <c r="DU231" s="3"/>
      <c r="DV231" s="3"/>
      <c r="DW231" s="3"/>
      <c r="DY231" s="3"/>
      <c r="DZ231" s="3"/>
    </row>
    <row r="232" spans="1:142" ht="15" customHeight="1" x14ac:dyDescent="0.25">
      <c r="A232" s="6" t="s">
        <v>371</v>
      </c>
      <c r="B232" s="2" t="s">
        <v>784</v>
      </c>
      <c r="C232" s="2" t="s">
        <v>1410</v>
      </c>
      <c r="D232" s="25" t="s">
        <v>1183</v>
      </c>
      <c r="E232" s="4" t="s">
        <v>1190</v>
      </c>
      <c r="F232" s="4" t="s">
        <v>1408</v>
      </c>
      <c r="G232" s="26">
        <v>1991</v>
      </c>
      <c r="H232" s="5"/>
      <c r="I232" s="5"/>
      <c r="J232" s="5"/>
      <c r="M232" s="5"/>
      <c r="N232" s="2" t="s">
        <v>1411</v>
      </c>
      <c r="O232" s="28" t="s">
        <v>2576</v>
      </c>
      <c r="P232" s="3"/>
      <c r="Q232" s="27">
        <v>2</v>
      </c>
      <c r="R232" s="3"/>
      <c r="S232" s="3"/>
      <c r="T232" s="3"/>
      <c r="U232" s="3"/>
      <c r="V232" s="3"/>
      <c r="W232" s="3">
        <v>4</v>
      </c>
      <c r="X232" s="3"/>
      <c r="Z232" s="3"/>
      <c r="AA232" s="3"/>
      <c r="AB232" s="3"/>
      <c r="AC232" s="3">
        <v>6</v>
      </c>
      <c r="AD232" s="3"/>
      <c r="AE232" s="3"/>
      <c r="AF232" s="3">
        <v>1</v>
      </c>
      <c r="AG232" s="3"/>
      <c r="AH232" s="3"/>
      <c r="AI232" s="3"/>
      <c r="AJ232" s="3">
        <v>6</v>
      </c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>
        <v>4</v>
      </c>
      <c r="AY232" s="3"/>
      <c r="AZ232" s="3">
        <v>4</v>
      </c>
      <c r="BA232" s="3">
        <v>1</v>
      </c>
      <c r="BB232" s="3">
        <v>9</v>
      </c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>
        <v>9</v>
      </c>
      <c r="BN232" s="3"/>
      <c r="BO232" s="3"/>
      <c r="BP232" s="3"/>
      <c r="BQ232" s="3">
        <v>5</v>
      </c>
      <c r="BR232" s="3">
        <v>5</v>
      </c>
      <c r="BS232" s="3"/>
      <c r="BT232" s="19">
        <v>4</v>
      </c>
      <c r="BU232" s="3">
        <v>7</v>
      </c>
      <c r="BV232" s="19">
        <v>4</v>
      </c>
      <c r="BW232" s="19">
        <v>5</v>
      </c>
      <c r="BX232" s="19">
        <v>4</v>
      </c>
      <c r="BY232" s="3"/>
      <c r="BZ232" s="19">
        <v>5</v>
      </c>
      <c r="CA232" s="19">
        <v>6</v>
      </c>
      <c r="CB232" s="19">
        <v>3</v>
      </c>
      <c r="CC232" s="19">
        <v>5</v>
      </c>
      <c r="CD232" s="3">
        <v>5</v>
      </c>
      <c r="CE232" s="19">
        <v>2</v>
      </c>
      <c r="CF232" s="19">
        <v>5</v>
      </c>
      <c r="CG232" s="3"/>
      <c r="CH232" s="3">
        <v>3</v>
      </c>
      <c r="CI232" s="3">
        <v>2</v>
      </c>
      <c r="CJ232" s="19">
        <v>6</v>
      </c>
      <c r="CK232" s="19">
        <v>5</v>
      </c>
      <c r="CL232" s="19">
        <v>5</v>
      </c>
      <c r="CM232" s="3" t="s">
        <v>1185</v>
      </c>
      <c r="CN232" s="3" t="s">
        <v>1185</v>
      </c>
      <c r="CO232" s="3" t="s">
        <v>1185</v>
      </c>
      <c r="CP232" s="3" t="s">
        <v>1185</v>
      </c>
      <c r="CQ232" s="3" t="s">
        <v>1185</v>
      </c>
      <c r="CR232" s="3" t="s">
        <v>1185</v>
      </c>
      <c r="CS232" s="3" t="s">
        <v>1185</v>
      </c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R232" s="3"/>
      <c r="EE232" s="3"/>
      <c r="EF232" s="3"/>
      <c r="EG232" s="3"/>
      <c r="EH232" s="3"/>
      <c r="EI232" s="3"/>
      <c r="EJ232" s="3"/>
      <c r="EK232" s="3"/>
      <c r="EL232" s="3"/>
    </row>
    <row r="233" spans="1:142" ht="15" customHeight="1" x14ac:dyDescent="0.25">
      <c r="A233" s="6" t="s">
        <v>372</v>
      </c>
      <c r="B233" s="2" t="s">
        <v>784</v>
      </c>
      <c r="C233" s="2" t="s">
        <v>1412</v>
      </c>
      <c r="D233" s="25" t="s">
        <v>1183</v>
      </c>
      <c r="E233" s="4" t="s">
        <v>1190</v>
      </c>
      <c r="F233" s="4" t="s">
        <v>1408</v>
      </c>
      <c r="G233" s="26">
        <v>1991</v>
      </c>
      <c r="H233" s="5"/>
      <c r="I233" s="5"/>
      <c r="J233" s="5"/>
      <c r="M233" s="5"/>
      <c r="N233" s="2" t="s">
        <v>1413</v>
      </c>
      <c r="O233" s="28" t="s">
        <v>2577</v>
      </c>
      <c r="P233" s="3"/>
      <c r="Q233" s="27">
        <v>2</v>
      </c>
      <c r="R233" s="3"/>
      <c r="S233" s="3"/>
      <c r="T233" s="3"/>
      <c r="U233" s="3"/>
      <c r="V233" s="3"/>
      <c r="W233" s="3">
        <v>4</v>
      </c>
      <c r="X233" s="3"/>
      <c r="Z233" s="3"/>
      <c r="AA233" s="3"/>
      <c r="AB233" s="3"/>
      <c r="AC233" s="3">
        <v>6</v>
      </c>
      <c r="AD233" s="3"/>
      <c r="AE233" s="3"/>
      <c r="AF233" s="3">
        <v>1</v>
      </c>
      <c r="AG233" s="3"/>
      <c r="AH233" s="3"/>
      <c r="AI233" s="3"/>
      <c r="AJ233" s="3">
        <v>4</v>
      </c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>
        <v>3</v>
      </c>
      <c r="AY233" s="3"/>
      <c r="AZ233" s="3"/>
      <c r="BA233" s="3">
        <v>1</v>
      </c>
      <c r="BB233" s="3">
        <v>9</v>
      </c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>
        <v>9</v>
      </c>
      <c r="BN233" s="3"/>
      <c r="BO233" s="3"/>
      <c r="BP233" s="3"/>
      <c r="BQ233" s="3">
        <v>6</v>
      </c>
      <c r="BR233" s="3">
        <v>5</v>
      </c>
      <c r="BS233" s="3"/>
      <c r="BT233" s="19">
        <v>5</v>
      </c>
      <c r="BU233" s="3">
        <v>7</v>
      </c>
      <c r="BV233" s="19">
        <v>5</v>
      </c>
      <c r="BW233" s="19">
        <v>9</v>
      </c>
      <c r="BX233" s="19">
        <v>5</v>
      </c>
      <c r="BY233" s="3"/>
      <c r="BZ233" s="19">
        <v>5</v>
      </c>
      <c r="CA233" s="19">
        <v>7</v>
      </c>
      <c r="CB233" s="19">
        <v>5</v>
      </c>
      <c r="CC233" s="19">
        <v>5</v>
      </c>
      <c r="CD233" s="3">
        <v>7</v>
      </c>
      <c r="CE233" s="19">
        <v>3</v>
      </c>
      <c r="CF233" s="19">
        <v>5</v>
      </c>
      <c r="CG233" s="3"/>
      <c r="CH233" s="3">
        <v>8</v>
      </c>
      <c r="CI233" s="3">
        <v>4</v>
      </c>
      <c r="CJ233" s="19">
        <v>9</v>
      </c>
      <c r="CK233" s="19">
        <v>6</v>
      </c>
      <c r="CL233" s="19">
        <v>7</v>
      </c>
      <c r="CM233" s="3" t="s">
        <v>1185</v>
      </c>
      <c r="CN233" s="3" t="s">
        <v>1185</v>
      </c>
      <c r="CO233" s="3" t="s">
        <v>1185</v>
      </c>
      <c r="CP233" s="3" t="s">
        <v>1185</v>
      </c>
      <c r="CQ233" s="3" t="s">
        <v>1185</v>
      </c>
      <c r="CR233" s="3" t="s">
        <v>1185</v>
      </c>
      <c r="CS233" s="3" t="s">
        <v>1185</v>
      </c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R233" s="3"/>
      <c r="EA233" s="3"/>
      <c r="EB233" s="3"/>
      <c r="EC233" s="3"/>
      <c r="ED233" s="3"/>
    </row>
    <row r="234" spans="1:142" ht="15" customHeight="1" x14ac:dyDescent="0.25">
      <c r="A234" s="6" t="s">
        <v>373</v>
      </c>
      <c r="B234" s="2" t="s">
        <v>784</v>
      </c>
      <c r="C234" s="2" t="s">
        <v>1414</v>
      </c>
      <c r="D234" s="25" t="s">
        <v>1183</v>
      </c>
      <c r="E234" s="4" t="s">
        <v>1190</v>
      </c>
      <c r="F234" s="4" t="s">
        <v>1387</v>
      </c>
      <c r="G234" s="26">
        <v>1991</v>
      </c>
      <c r="H234" s="5"/>
      <c r="I234" s="5"/>
      <c r="J234" s="5"/>
      <c r="M234" s="5"/>
      <c r="N234" s="2" t="s">
        <v>1415</v>
      </c>
      <c r="O234" s="28" t="s">
        <v>2578</v>
      </c>
      <c r="P234" s="3"/>
      <c r="Q234" s="27">
        <v>2</v>
      </c>
      <c r="R234" s="3"/>
      <c r="S234" s="3"/>
      <c r="T234" s="3"/>
      <c r="U234" s="3"/>
      <c r="V234" s="3"/>
      <c r="W234" s="3">
        <v>4</v>
      </c>
      <c r="X234" s="3"/>
      <c r="Z234" s="3"/>
      <c r="AA234" s="3"/>
      <c r="AB234" s="3">
        <v>8</v>
      </c>
      <c r="AC234" s="3">
        <v>6</v>
      </c>
      <c r="AD234" s="3"/>
      <c r="AE234" s="3"/>
      <c r="AF234" s="3">
        <v>1</v>
      </c>
      <c r="AG234" s="3"/>
      <c r="AH234" s="3"/>
      <c r="AI234" s="3"/>
      <c r="AJ234" s="3">
        <v>6</v>
      </c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>
        <v>5</v>
      </c>
      <c r="AY234" s="3"/>
      <c r="AZ234" s="3"/>
      <c r="BA234" s="3">
        <v>1</v>
      </c>
      <c r="BB234" s="3">
        <v>9</v>
      </c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>
        <v>8</v>
      </c>
      <c r="BN234" s="3"/>
      <c r="BO234" s="3"/>
      <c r="BP234" s="3"/>
      <c r="BQ234" s="3">
        <v>7</v>
      </c>
      <c r="BR234" s="3">
        <v>6</v>
      </c>
      <c r="BS234" s="3">
        <v>8</v>
      </c>
      <c r="BT234" s="19">
        <v>7</v>
      </c>
      <c r="BU234" s="3">
        <v>7</v>
      </c>
      <c r="BV234" s="19">
        <v>9</v>
      </c>
      <c r="BW234" s="3"/>
      <c r="BX234" s="19">
        <v>9</v>
      </c>
      <c r="BY234" s="19">
        <v>9</v>
      </c>
      <c r="BZ234" s="19">
        <v>9</v>
      </c>
      <c r="CA234" s="19">
        <v>4</v>
      </c>
      <c r="CB234" s="19">
        <v>8</v>
      </c>
      <c r="CC234" s="19">
        <v>9</v>
      </c>
      <c r="CD234" s="3">
        <v>9</v>
      </c>
      <c r="CE234" s="19">
        <v>9</v>
      </c>
      <c r="CF234" s="3">
        <v>9</v>
      </c>
      <c r="CG234" s="19">
        <v>7</v>
      </c>
      <c r="CH234" s="3">
        <v>8</v>
      </c>
      <c r="CI234" s="3">
        <v>9</v>
      </c>
      <c r="CJ234" s="3">
        <v>9</v>
      </c>
      <c r="CK234" s="3">
        <v>9</v>
      </c>
      <c r="CL234" s="3">
        <v>9</v>
      </c>
      <c r="CM234" s="3" t="s">
        <v>1185</v>
      </c>
      <c r="CN234" s="3" t="s">
        <v>1185</v>
      </c>
      <c r="CO234" s="3" t="s">
        <v>1185</v>
      </c>
      <c r="CP234" s="3"/>
      <c r="CQ234" s="3" t="s">
        <v>1185</v>
      </c>
      <c r="CR234" s="3" t="s">
        <v>1185</v>
      </c>
      <c r="CS234" s="3" t="s">
        <v>1185</v>
      </c>
      <c r="CT234" s="3">
        <v>3</v>
      </c>
      <c r="CU234" s="3">
        <v>9</v>
      </c>
      <c r="CV234" s="3">
        <v>8</v>
      </c>
      <c r="CW234" s="3">
        <v>7</v>
      </c>
      <c r="CX234" s="3">
        <v>3</v>
      </c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R234" s="3"/>
    </row>
    <row r="235" spans="1:142" ht="15" customHeight="1" x14ac:dyDescent="0.25">
      <c r="A235" s="6" t="s">
        <v>374</v>
      </c>
      <c r="B235" s="2" t="s">
        <v>784</v>
      </c>
      <c r="C235" s="2" t="s">
        <v>1416</v>
      </c>
      <c r="D235" s="25" t="s">
        <v>1183</v>
      </c>
      <c r="E235" s="4" t="s">
        <v>1190</v>
      </c>
      <c r="F235" s="4" t="s">
        <v>1387</v>
      </c>
      <c r="G235" s="26">
        <v>1991</v>
      </c>
      <c r="H235" s="5"/>
      <c r="I235" s="5"/>
      <c r="J235" s="5"/>
      <c r="M235" s="5"/>
      <c r="N235" s="2" t="s">
        <v>1417</v>
      </c>
      <c r="O235" s="28" t="s">
        <v>2579</v>
      </c>
      <c r="P235" s="3"/>
      <c r="Q235" s="27">
        <v>2</v>
      </c>
      <c r="R235" s="3"/>
      <c r="S235" s="3"/>
      <c r="T235" s="3"/>
      <c r="U235" s="3"/>
      <c r="V235" s="3"/>
      <c r="W235" s="3">
        <v>4</v>
      </c>
      <c r="X235" s="3"/>
      <c r="Z235" s="3"/>
      <c r="AA235" s="3"/>
      <c r="AB235" s="3">
        <v>8</v>
      </c>
      <c r="AC235" s="3">
        <v>6</v>
      </c>
      <c r="AD235" s="3"/>
      <c r="AE235" s="3"/>
      <c r="AF235" s="3">
        <v>1</v>
      </c>
      <c r="AG235" s="3"/>
      <c r="AH235" s="3"/>
      <c r="AI235" s="3"/>
      <c r="AJ235" s="3">
        <v>5</v>
      </c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>
        <v>4</v>
      </c>
      <c r="AY235" s="3"/>
      <c r="AZ235" s="3">
        <v>4</v>
      </c>
      <c r="BA235" s="3">
        <v>1</v>
      </c>
      <c r="BB235" s="3">
        <v>9</v>
      </c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>
        <v>9</v>
      </c>
      <c r="BN235" s="3"/>
      <c r="BO235" s="3"/>
      <c r="BP235" s="3"/>
      <c r="BQ235" s="3">
        <v>8</v>
      </c>
      <c r="BR235" s="3">
        <v>9</v>
      </c>
      <c r="BS235" s="3"/>
      <c r="BT235" s="19">
        <v>9</v>
      </c>
      <c r="BU235" s="3">
        <v>9</v>
      </c>
      <c r="BV235" s="19">
        <v>7</v>
      </c>
      <c r="BW235" s="19">
        <v>9</v>
      </c>
      <c r="BX235" s="3"/>
      <c r="BY235" s="3"/>
      <c r="BZ235" s="19">
        <v>9</v>
      </c>
      <c r="CA235" s="19">
        <v>6</v>
      </c>
      <c r="CB235" s="19">
        <v>8</v>
      </c>
      <c r="CC235" s="19">
        <v>9</v>
      </c>
      <c r="CD235" s="3">
        <v>7</v>
      </c>
      <c r="CE235" s="19">
        <v>9</v>
      </c>
      <c r="CF235" s="19">
        <v>9</v>
      </c>
      <c r="CG235" s="3"/>
      <c r="CH235" s="3">
        <v>9</v>
      </c>
      <c r="CI235" s="3">
        <v>8</v>
      </c>
      <c r="CJ235" s="19">
        <v>9</v>
      </c>
      <c r="CK235" s="19">
        <v>8</v>
      </c>
      <c r="CL235" s="19">
        <v>9</v>
      </c>
      <c r="CM235" s="19">
        <v>7</v>
      </c>
      <c r="CN235" s="3" t="s">
        <v>1185</v>
      </c>
      <c r="CO235" s="3" t="s">
        <v>1185</v>
      </c>
      <c r="CP235" s="3"/>
      <c r="CQ235" s="3" t="s">
        <v>1185</v>
      </c>
      <c r="CR235" s="3" t="s">
        <v>1185</v>
      </c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R235" s="3">
        <v>9</v>
      </c>
    </row>
    <row r="236" spans="1:142" ht="15" customHeight="1" x14ac:dyDescent="0.25">
      <c r="A236" s="6" t="s">
        <v>375</v>
      </c>
      <c r="B236" s="2" t="s">
        <v>784</v>
      </c>
      <c r="C236" s="2" t="s">
        <v>1418</v>
      </c>
      <c r="D236" s="25" t="s">
        <v>1183</v>
      </c>
      <c r="E236" s="4" t="s">
        <v>1190</v>
      </c>
      <c r="F236" s="4" t="s">
        <v>1419</v>
      </c>
      <c r="G236" s="26">
        <v>1991</v>
      </c>
      <c r="H236" s="5"/>
      <c r="I236" s="5"/>
      <c r="J236" s="5"/>
      <c r="M236" s="5"/>
      <c r="N236" s="2" t="s">
        <v>1420</v>
      </c>
      <c r="O236" s="28" t="s">
        <v>2580</v>
      </c>
      <c r="P236" s="3"/>
      <c r="Q236" s="27">
        <v>2</v>
      </c>
      <c r="R236" s="3"/>
      <c r="S236" s="3"/>
      <c r="T236" s="3"/>
      <c r="U236" s="3"/>
      <c r="V236" s="3"/>
      <c r="W236" s="3">
        <v>4</v>
      </c>
      <c r="X236" s="3"/>
      <c r="Z236" s="3"/>
      <c r="AA236" s="3"/>
      <c r="AB236" s="3">
        <v>7</v>
      </c>
      <c r="AC236" s="3">
        <v>6</v>
      </c>
      <c r="AD236" s="3"/>
      <c r="AE236" s="3"/>
      <c r="AF236" s="3">
        <v>1</v>
      </c>
      <c r="AG236" s="3"/>
      <c r="AH236" s="3"/>
      <c r="AI236" s="3"/>
      <c r="AJ236" s="3">
        <v>6</v>
      </c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>
        <v>4</v>
      </c>
      <c r="AY236" s="3"/>
      <c r="AZ236" s="3"/>
      <c r="BA236" s="3">
        <v>1</v>
      </c>
      <c r="BB236" s="3">
        <v>9</v>
      </c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>
        <v>9</v>
      </c>
      <c r="BN236" s="3"/>
      <c r="BO236" s="3"/>
      <c r="BP236" s="3"/>
      <c r="BQ236" s="3">
        <v>6</v>
      </c>
      <c r="BR236" s="3">
        <v>5</v>
      </c>
      <c r="BS236" s="3"/>
      <c r="BT236" s="19">
        <v>7</v>
      </c>
      <c r="BU236" s="3">
        <v>9</v>
      </c>
      <c r="BV236" s="19">
        <v>6</v>
      </c>
      <c r="BW236" s="19">
        <v>9</v>
      </c>
      <c r="BX236" s="19">
        <v>6</v>
      </c>
      <c r="BY236" s="3"/>
      <c r="BZ236" s="19">
        <v>9</v>
      </c>
      <c r="CA236" s="19">
        <v>6</v>
      </c>
      <c r="CB236" s="3"/>
      <c r="CC236" s="19">
        <v>7</v>
      </c>
      <c r="CD236" s="3">
        <v>7</v>
      </c>
      <c r="CE236" s="19">
        <v>8</v>
      </c>
      <c r="CF236" s="19">
        <v>5</v>
      </c>
      <c r="CG236" s="3"/>
      <c r="CH236" s="3">
        <v>9</v>
      </c>
      <c r="CI236" s="3">
        <v>3</v>
      </c>
      <c r="CJ236" s="19">
        <v>7</v>
      </c>
      <c r="CK236" s="19">
        <v>7</v>
      </c>
      <c r="CL236" s="19">
        <v>7</v>
      </c>
      <c r="CM236" s="19">
        <v>3</v>
      </c>
      <c r="CN236" s="3" t="s">
        <v>1185</v>
      </c>
      <c r="CO236" s="3" t="s">
        <v>1185</v>
      </c>
      <c r="CP236" s="3"/>
      <c r="CQ236" s="3" t="s">
        <v>1185</v>
      </c>
      <c r="CR236" s="3" t="s">
        <v>1185</v>
      </c>
      <c r="CS236" s="3" t="s">
        <v>1185</v>
      </c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19">
        <v>9</v>
      </c>
      <c r="DR236" s="3"/>
      <c r="DU236" s="3"/>
      <c r="DV236" s="3"/>
      <c r="DW236" s="3"/>
      <c r="DX236" s="3"/>
      <c r="EA236" s="3"/>
    </row>
    <row r="237" spans="1:142" ht="15" customHeight="1" x14ac:dyDescent="0.25">
      <c r="A237" s="6" t="s">
        <v>376</v>
      </c>
      <c r="B237" s="2" t="s">
        <v>784</v>
      </c>
      <c r="C237" s="2" t="s">
        <v>1421</v>
      </c>
      <c r="D237" s="25" t="s">
        <v>1183</v>
      </c>
      <c r="E237" s="4" t="s">
        <v>1190</v>
      </c>
      <c r="F237" s="4" t="s">
        <v>1419</v>
      </c>
      <c r="G237" s="26">
        <v>1991</v>
      </c>
      <c r="H237" s="5"/>
      <c r="I237" s="5"/>
      <c r="J237" s="5"/>
      <c r="M237" s="5"/>
      <c r="N237" s="2" t="s">
        <v>1422</v>
      </c>
      <c r="O237" s="28" t="s">
        <v>2581</v>
      </c>
      <c r="P237" s="3"/>
      <c r="Q237" s="27">
        <v>2</v>
      </c>
      <c r="R237" s="3"/>
      <c r="S237" s="3"/>
      <c r="T237" s="3"/>
      <c r="U237" s="3"/>
      <c r="V237" s="3"/>
      <c r="W237" s="3">
        <v>4</v>
      </c>
      <c r="X237" s="3"/>
      <c r="Z237" s="3"/>
      <c r="AA237" s="3"/>
      <c r="AB237" s="3">
        <v>8</v>
      </c>
      <c r="AC237" s="3">
        <v>6</v>
      </c>
      <c r="AD237" s="3"/>
      <c r="AE237" s="3"/>
      <c r="AF237" s="3">
        <v>1</v>
      </c>
      <c r="AG237" s="3"/>
      <c r="AH237" s="3"/>
      <c r="AI237" s="3"/>
      <c r="AJ237" s="3">
        <v>6</v>
      </c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>
        <v>4</v>
      </c>
      <c r="AY237" s="3"/>
      <c r="AZ237" s="3">
        <v>4</v>
      </c>
      <c r="BA237" s="3">
        <v>1</v>
      </c>
      <c r="BB237" s="3">
        <v>9</v>
      </c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>
        <v>9</v>
      </c>
      <c r="BN237" s="3"/>
      <c r="BO237" s="3"/>
      <c r="BP237" s="3"/>
      <c r="BQ237" s="3">
        <v>6</v>
      </c>
      <c r="BR237" s="3">
        <v>5</v>
      </c>
      <c r="BS237" s="3"/>
      <c r="BT237" s="19">
        <v>7</v>
      </c>
      <c r="BU237" s="3">
        <v>9</v>
      </c>
      <c r="BV237" s="19">
        <v>6</v>
      </c>
      <c r="BW237" s="19">
        <v>5</v>
      </c>
      <c r="BX237" s="19">
        <v>6</v>
      </c>
      <c r="BY237" s="3"/>
      <c r="BZ237" s="19">
        <v>9</v>
      </c>
      <c r="CA237" s="19">
        <v>5</v>
      </c>
      <c r="CB237" s="19">
        <v>5</v>
      </c>
      <c r="CC237" s="19">
        <v>4</v>
      </c>
      <c r="CD237" s="3">
        <v>7</v>
      </c>
      <c r="CE237" s="19">
        <v>8</v>
      </c>
      <c r="CF237" s="19">
        <v>7</v>
      </c>
      <c r="CG237" s="3"/>
      <c r="CH237" s="3">
        <v>6</v>
      </c>
      <c r="CI237" s="3">
        <v>7</v>
      </c>
      <c r="CJ237" s="19">
        <v>7</v>
      </c>
      <c r="CK237" s="19">
        <v>8</v>
      </c>
      <c r="CL237" s="19">
        <v>7</v>
      </c>
      <c r="CM237" s="19">
        <v>9</v>
      </c>
      <c r="CN237" s="3"/>
      <c r="CO237" s="3" t="s">
        <v>1185</v>
      </c>
      <c r="CP237" s="3" t="s">
        <v>1185</v>
      </c>
      <c r="CQ237" s="3" t="s">
        <v>1185</v>
      </c>
      <c r="CR237" s="3" t="s">
        <v>1185</v>
      </c>
      <c r="CS237" s="3" t="s">
        <v>1185</v>
      </c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19">
        <v>9</v>
      </c>
      <c r="DR237" s="3"/>
      <c r="DU237" s="3"/>
      <c r="DV237" s="3"/>
      <c r="DW237" s="3"/>
      <c r="EE237" s="3"/>
      <c r="EF237" s="3"/>
      <c r="EG237" s="3"/>
      <c r="EH237" s="3"/>
      <c r="EI237" s="3"/>
      <c r="EJ237" s="3"/>
      <c r="EK237" s="3"/>
      <c r="EL237" s="3"/>
    </row>
    <row r="238" spans="1:142" ht="15" customHeight="1" x14ac:dyDescent="0.25">
      <c r="A238" s="6" t="s">
        <v>377</v>
      </c>
      <c r="B238" s="2" t="s">
        <v>784</v>
      </c>
      <c r="C238" s="2" t="s">
        <v>1423</v>
      </c>
      <c r="D238" s="25" t="s">
        <v>1183</v>
      </c>
      <c r="E238" s="4" t="s">
        <v>1190</v>
      </c>
      <c r="F238" s="4" t="s">
        <v>1419</v>
      </c>
      <c r="G238" s="26">
        <v>1991</v>
      </c>
      <c r="H238" s="5"/>
      <c r="I238" s="5"/>
      <c r="J238" s="5"/>
      <c r="M238" s="5"/>
      <c r="N238" s="2" t="s">
        <v>1424</v>
      </c>
      <c r="O238" s="28" t="s">
        <v>2582</v>
      </c>
      <c r="P238" s="3"/>
      <c r="Q238" s="27">
        <v>2</v>
      </c>
      <c r="R238" s="3"/>
      <c r="S238" s="3"/>
      <c r="T238" s="3"/>
      <c r="U238" s="3"/>
      <c r="V238" s="3"/>
      <c r="W238" s="3">
        <v>4</v>
      </c>
      <c r="X238" s="3"/>
      <c r="Z238" s="3"/>
      <c r="AA238" s="3"/>
      <c r="AB238" s="3"/>
      <c r="AC238" s="3">
        <v>5</v>
      </c>
      <c r="AD238" s="3"/>
      <c r="AE238" s="3"/>
      <c r="AF238" s="3">
        <v>1</v>
      </c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>
        <v>4</v>
      </c>
      <c r="AY238" s="3"/>
      <c r="AZ238" s="3">
        <v>4</v>
      </c>
      <c r="BA238" s="3">
        <v>1</v>
      </c>
      <c r="BB238" s="3">
        <v>9</v>
      </c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>
        <v>9</v>
      </c>
      <c r="BN238" s="3"/>
      <c r="BO238" s="3"/>
      <c r="BP238" s="3"/>
      <c r="BQ238" s="3">
        <v>6</v>
      </c>
      <c r="BR238" s="3">
        <v>5</v>
      </c>
      <c r="BS238" s="3"/>
      <c r="BT238" s="19">
        <v>8</v>
      </c>
      <c r="BU238" s="3">
        <v>9</v>
      </c>
      <c r="BV238" s="19">
        <v>6</v>
      </c>
      <c r="BW238" s="19">
        <v>5</v>
      </c>
      <c r="BX238" s="19">
        <v>7</v>
      </c>
      <c r="BY238" s="3"/>
      <c r="BZ238" s="19">
        <v>9</v>
      </c>
      <c r="CA238" s="19">
        <v>6</v>
      </c>
      <c r="CB238" s="19">
        <v>5</v>
      </c>
      <c r="CC238" s="19">
        <v>5</v>
      </c>
      <c r="CD238" s="3">
        <v>8</v>
      </c>
      <c r="CE238" s="19">
        <v>9</v>
      </c>
      <c r="CF238" s="19">
        <v>5</v>
      </c>
      <c r="CG238" s="3"/>
      <c r="CH238" s="3">
        <v>7</v>
      </c>
      <c r="CI238" s="3">
        <v>9</v>
      </c>
      <c r="CJ238" s="19">
        <v>7</v>
      </c>
      <c r="CK238" s="19">
        <v>9</v>
      </c>
      <c r="CL238" s="19">
        <v>8</v>
      </c>
      <c r="CM238" s="19">
        <v>8</v>
      </c>
      <c r="CN238" s="3" t="s">
        <v>1185</v>
      </c>
      <c r="CO238" s="3" t="s">
        <v>1185</v>
      </c>
      <c r="CP238" s="3" t="s">
        <v>1185</v>
      </c>
      <c r="CQ238" s="3" t="s">
        <v>1185</v>
      </c>
      <c r="CR238" s="3" t="s">
        <v>1185</v>
      </c>
      <c r="CS238" s="3" t="s">
        <v>1185</v>
      </c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19">
        <v>9</v>
      </c>
      <c r="DR238" s="3"/>
      <c r="EB238" s="3"/>
      <c r="EC238" s="3"/>
      <c r="ED238" s="3"/>
    </row>
    <row r="239" spans="1:142" ht="15" customHeight="1" x14ac:dyDescent="0.25">
      <c r="A239" s="6" t="s">
        <v>378</v>
      </c>
      <c r="B239" s="2" t="s">
        <v>784</v>
      </c>
      <c r="C239" s="2" t="s">
        <v>1425</v>
      </c>
      <c r="D239" s="25" t="s">
        <v>1183</v>
      </c>
      <c r="E239" s="4" t="s">
        <v>1190</v>
      </c>
      <c r="F239" s="4" t="s">
        <v>1387</v>
      </c>
      <c r="G239" s="26">
        <v>1991</v>
      </c>
      <c r="H239" s="5"/>
      <c r="I239" s="5"/>
      <c r="J239" s="5"/>
      <c r="M239" s="5"/>
      <c r="N239" s="2" t="s">
        <v>1426</v>
      </c>
      <c r="O239" s="28" t="s">
        <v>2583</v>
      </c>
      <c r="P239" s="3"/>
      <c r="Q239" s="27">
        <v>2</v>
      </c>
      <c r="R239" s="3"/>
      <c r="S239" s="3"/>
      <c r="T239" s="3"/>
      <c r="U239" s="3"/>
      <c r="V239" s="3"/>
      <c r="W239" s="3">
        <v>4</v>
      </c>
      <c r="X239" s="3"/>
      <c r="Z239" s="3"/>
      <c r="AA239" s="3"/>
      <c r="AB239" s="3"/>
      <c r="AC239" s="3">
        <v>5</v>
      </c>
      <c r="AD239" s="3"/>
      <c r="AE239" s="3"/>
      <c r="AF239" s="3">
        <v>1</v>
      </c>
      <c r="AG239" s="3"/>
      <c r="AH239" s="3"/>
      <c r="AI239" s="3"/>
      <c r="AJ239" s="3">
        <v>6</v>
      </c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>
        <v>5</v>
      </c>
      <c r="AY239" s="3"/>
      <c r="AZ239" s="3">
        <v>4</v>
      </c>
      <c r="BA239" s="3">
        <v>1</v>
      </c>
      <c r="BB239" s="3">
        <v>9</v>
      </c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>
        <v>9</v>
      </c>
      <c r="BN239" s="3"/>
      <c r="BO239" s="3"/>
      <c r="BP239" s="3"/>
      <c r="BQ239" s="3">
        <v>7</v>
      </c>
      <c r="BR239" s="3">
        <v>8</v>
      </c>
      <c r="BS239" s="3"/>
      <c r="BT239" s="19">
        <v>8</v>
      </c>
      <c r="BU239" s="3">
        <v>9</v>
      </c>
      <c r="BV239" s="19">
        <v>6</v>
      </c>
      <c r="BW239" s="19">
        <v>9</v>
      </c>
      <c r="BX239" s="19">
        <v>7</v>
      </c>
      <c r="BY239" s="3"/>
      <c r="BZ239" s="19">
        <v>9</v>
      </c>
      <c r="CA239" s="19">
        <v>8</v>
      </c>
      <c r="CB239" s="19">
        <v>8</v>
      </c>
      <c r="CC239" s="19">
        <v>7</v>
      </c>
      <c r="CD239" s="3">
        <v>9</v>
      </c>
      <c r="CE239" s="19">
        <v>9</v>
      </c>
      <c r="CF239" s="19">
        <v>7</v>
      </c>
      <c r="CG239" s="3"/>
      <c r="CH239" s="3">
        <v>9</v>
      </c>
      <c r="CI239" s="3">
        <v>9</v>
      </c>
      <c r="CJ239" s="19">
        <v>7</v>
      </c>
      <c r="CK239" s="19">
        <v>8</v>
      </c>
      <c r="CL239" s="19">
        <v>9</v>
      </c>
      <c r="CM239" s="19">
        <v>7</v>
      </c>
      <c r="CN239" s="3" t="s">
        <v>1185</v>
      </c>
      <c r="CO239" s="3" t="s">
        <v>1185</v>
      </c>
      <c r="CP239" s="3" t="s">
        <v>1185</v>
      </c>
      <c r="CQ239" s="3" t="s">
        <v>1185</v>
      </c>
      <c r="CR239" s="3" t="s">
        <v>1185</v>
      </c>
      <c r="CS239" s="3" t="s">
        <v>1185</v>
      </c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R239" s="3">
        <v>9</v>
      </c>
    </row>
    <row r="240" spans="1:142" ht="15" customHeight="1" x14ac:dyDescent="0.25">
      <c r="A240" s="6" t="s">
        <v>379</v>
      </c>
      <c r="B240" s="2" t="s">
        <v>784</v>
      </c>
      <c r="C240" s="2" t="s">
        <v>1427</v>
      </c>
      <c r="D240" s="25" t="s">
        <v>1183</v>
      </c>
      <c r="E240" s="4" t="s">
        <v>1190</v>
      </c>
      <c r="F240" s="4" t="s">
        <v>1387</v>
      </c>
      <c r="G240" s="26">
        <v>1991</v>
      </c>
      <c r="H240" s="5"/>
      <c r="I240" s="5"/>
      <c r="J240" s="5"/>
      <c r="M240" s="5"/>
      <c r="N240" s="2" t="s">
        <v>1428</v>
      </c>
      <c r="O240" s="28" t="s">
        <v>2584</v>
      </c>
      <c r="P240" s="3"/>
      <c r="Q240" s="27">
        <v>2</v>
      </c>
      <c r="R240" s="3"/>
      <c r="S240" s="3"/>
      <c r="T240" s="3"/>
      <c r="U240" s="3"/>
      <c r="V240" s="3"/>
      <c r="W240" s="3">
        <v>4</v>
      </c>
      <c r="X240" s="3"/>
      <c r="Z240" s="3"/>
      <c r="AA240" s="3"/>
      <c r="AB240" s="3">
        <v>8</v>
      </c>
      <c r="AC240" s="3">
        <v>6</v>
      </c>
      <c r="AD240" s="3"/>
      <c r="AE240" s="3"/>
      <c r="AF240" s="3">
        <v>1</v>
      </c>
      <c r="AG240" s="3"/>
      <c r="AH240" s="3"/>
      <c r="AI240" s="3"/>
      <c r="AJ240" s="3">
        <v>6</v>
      </c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>
        <v>4</v>
      </c>
      <c r="AY240" s="3"/>
      <c r="AZ240" s="3">
        <v>5</v>
      </c>
      <c r="BA240" s="3">
        <v>1</v>
      </c>
      <c r="BB240" s="3">
        <v>9</v>
      </c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>
        <v>9</v>
      </c>
      <c r="BN240" s="3"/>
      <c r="BO240" s="3"/>
      <c r="BP240" s="3"/>
      <c r="BQ240" s="3">
        <v>1</v>
      </c>
      <c r="BR240" s="3">
        <v>8</v>
      </c>
      <c r="BS240" s="3">
        <v>1</v>
      </c>
      <c r="BT240" s="19">
        <v>1</v>
      </c>
      <c r="BU240" s="3"/>
      <c r="BV240" s="19">
        <v>1</v>
      </c>
      <c r="BW240" s="3"/>
      <c r="BX240" s="19">
        <v>6</v>
      </c>
      <c r="BY240" s="19">
        <v>3</v>
      </c>
      <c r="BZ240" s="19">
        <v>1</v>
      </c>
      <c r="CA240" s="19">
        <v>7</v>
      </c>
      <c r="CB240" s="19">
        <v>8</v>
      </c>
      <c r="CC240" s="19">
        <v>7</v>
      </c>
      <c r="CD240" s="3">
        <v>8</v>
      </c>
      <c r="CE240" s="19">
        <v>1</v>
      </c>
      <c r="CF240" s="3">
        <v>1</v>
      </c>
      <c r="CG240" s="19">
        <v>7</v>
      </c>
      <c r="CH240" s="3">
        <v>7</v>
      </c>
      <c r="CI240" s="3">
        <v>9</v>
      </c>
      <c r="CJ240" s="3">
        <v>1</v>
      </c>
      <c r="CK240" s="3">
        <v>9</v>
      </c>
      <c r="CL240" s="3">
        <v>1</v>
      </c>
      <c r="CM240" s="3" t="s">
        <v>1185</v>
      </c>
      <c r="CN240" s="3" t="s">
        <v>1185</v>
      </c>
      <c r="CO240" s="3"/>
      <c r="CP240" s="3" t="s">
        <v>1185</v>
      </c>
      <c r="CQ240" s="3" t="s">
        <v>1185</v>
      </c>
      <c r="CR240" s="3" t="s">
        <v>1185</v>
      </c>
      <c r="CS240" s="3" t="s">
        <v>1185</v>
      </c>
      <c r="CT240" s="3">
        <v>1</v>
      </c>
      <c r="CU240" s="3">
        <v>9</v>
      </c>
      <c r="CV240" s="3">
        <v>6</v>
      </c>
      <c r="CW240" s="3">
        <v>1</v>
      </c>
      <c r="CX240" s="3">
        <v>7</v>
      </c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R240" s="3"/>
    </row>
    <row r="241" spans="1:134" ht="15" customHeight="1" x14ac:dyDescent="0.25">
      <c r="A241" s="6" t="s">
        <v>380</v>
      </c>
      <c r="B241" s="2" t="s">
        <v>784</v>
      </c>
      <c r="C241" s="2" t="s">
        <v>1429</v>
      </c>
      <c r="D241" s="25" t="s">
        <v>1183</v>
      </c>
      <c r="E241" s="4" t="s">
        <v>1190</v>
      </c>
      <c r="F241" s="4" t="s">
        <v>1387</v>
      </c>
      <c r="G241" s="26">
        <v>1991</v>
      </c>
      <c r="H241" s="5"/>
      <c r="I241" s="5"/>
      <c r="J241" s="5"/>
      <c r="M241" s="5"/>
      <c r="N241" s="2" t="s">
        <v>1430</v>
      </c>
      <c r="O241" s="28" t="s">
        <v>2585</v>
      </c>
      <c r="P241" s="3"/>
      <c r="Q241" s="27">
        <v>2</v>
      </c>
      <c r="R241" s="3"/>
      <c r="S241" s="3"/>
      <c r="T241" s="3"/>
      <c r="U241" s="3"/>
      <c r="V241" s="3"/>
      <c r="W241" s="3">
        <v>4</v>
      </c>
      <c r="X241" s="3"/>
      <c r="Z241" s="3"/>
      <c r="AA241" s="3"/>
      <c r="AB241" s="3">
        <v>8</v>
      </c>
      <c r="AC241" s="3">
        <v>5</v>
      </c>
      <c r="AD241" s="3"/>
      <c r="AE241" s="3"/>
      <c r="AF241" s="3">
        <v>1</v>
      </c>
      <c r="AG241" s="3"/>
      <c r="AH241" s="3"/>
      <c r="AI241" s="3"/>
      <c r="AJ241" s="3">
        <v>6</v>
      </c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>
        <v>5</v>
      </c>
      <c r="AY241" s="3"/>
      <c r="AZ241" s="3">
        <v>4</v>
      </c>
      <c r="BA241" s="3">
        <v>1</v>
      </c>
      <c r="BB241" s="3">
        <v>9</v>
      </c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>
        <v>9</v>
      </c>
      <c r="BN241" s="3">
        <v>4</v>
      </c>
      <c r="BO241" s="3"/>
      <c r="BP241" s="3"/>
      <c r="BQ241" s="3">
        <v>3</v>
      </c>
      <c r="BR241" s="3"/>
      <c r="BS241" s="3">
        <v>4</v>
      </c>
      <c r="BT241" s="19">
        <v>5</v>
      </c>
      <c r="BU241" s="3">
        <v>4</v>
      </c>
      <c r="BV241" s="19">
        <v>5</v>
      </c>
      <c r="BW241" s="19">
        <v>3</v>
      </c>
      <c r="BX241" s="19">
        <v>5</v>
      </c>
      <c r="BY241" s="19">
        <v>4</v>
      </c>
      <c r="BZ241" s="19">
        <v>1</v>
      </c>
      <c r="CA241" s="19">
        <v>4</v>
      </c>
      <c r="CB241" s="19">
        <v>5</v>
      </c>
      <c r="CC241" s="19">
        <v>7</v>
      </c>
      <c r="CD241" s="3">
        <v>7</v>
      </c>
      <c r="CE241" s="19">
        <v>5</v>
      </c>
      <c r="CF241" s="3">
        <v>5</v>
      </c>
      <c r="CG241" s="19">
        <v>5</v>
      </c>
      <c r="CH241" s="3">
        <v>5</v>
      </c>
      <c r="CI241" s="3">
        <v>5</v>
      </c>
      <c r="CJ241" s="3">
        <v>4</v>
      </c>
      <c r="CK241" s="3">
        <v>5</v>
      </c>
      <c r="CL241" s="3">
        <v>5</v>
      </c>
      <c r="CM241" s="3" t="s">
        <v>1185</v>
      </c>
      <c r="CN241" s="3" t="s">
        <v>1185</v>
      </c>
      <c r="CO241" s="3" t="s">
        <v>1185</v>
      </c>
      <c r="CP241" s="3" t="s">
        <v>1185</v>
      </c>
      <c r="CQ241" s="3" t="s">
        <v>1185</v>
      </c>
      <c r="CR241" s="3" t="s">
        <v>1185</v>
      </c>
      <c r="CS241" s="3" t="s">
        <v>1185</v>
      </c>
      <c r="CT241" s="3">
        <v>2</v>
      </c>
      <c r="CU241" s="3">
        <v>5</v>
      </c>
      <c r="CV241" s="3">
        <v>5</v>
      </c>
      <c r="CW241" s="3">
        <v>7</v>
      </c>
      <c r="CX241" s="3">
        <v>3</v>
      </c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R241" s="3"/>
    </row>
    <row r="242" spans="1:134" ht="15" customHeight="1" x14ac:dyDescent="0.25">
      <c r="A242" s="6" t="s">
        <v>381</v>
      </c>
      <c r="B242" s="2" t="s">
        <v>784</v>
      </c>
      <c r="C242" s="2" t="s">
        <v>1431</v>
      </c>
      <c r="D242" s="25" t="s">
        <v>1183</v>
      </c>
      <c r="E242" s="4" t="s">
        <v>1190</v>
      </c>
      <c r="F242" s="4" t="s">
        <v>1408</v>
      </c>
      <c r="G242" s="26">
        <v>1991</v>
      </c>
      <c r="H242" s="5"/>
      <c r="I242" s="5"/>
      <c r="J242" s="5"/>
      <c r="M242" s="5"/>
      <c r="N242" s="2" t="s">
        <v>1432</v>
      </c>
      <c r="O242" s="28" t="s">
        <v>2586</v>
      </c>
      <c r="P242" s="3"/>
      <c r="Q242" s="27">
        <v>2</v>
      </c>
      <c r="R242" s="3"/>
      <c r="S242" s="3"/>
      <c r="T242" s="3"/>
      <c r="U242" s="3"/>
      <c r="V242" s="3"/>
      <c r="W242" s="3">
        <v>4</v>
      </c>
      <c r="X242" s="3"/>
      <c r="Z242" s="3"/>
      <c r="AA242" s="3"/>
      <c r="AB242" s="3">
        <v>8</v>
      </c>
      <c r="AC242" s="3">
        <v>6</v>
      </c>
      <c r="AD242" s="3"/>
      <c r="AE242" s="3"/>
      <c r="AF242" s="3">
        <v>1</v>
      </c>
      <c r="AG242" s="3"/>
      <c r="AH242" s="3"/>
      <c r="AI242" s="3"/>
      <c r="AJ242" s="3">
        <v>7</v>
      </c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>
        <v>3</v>
      </c>
      <c r="AY242" s="3"/>
      <c r="AZ242" s="3">
        <v>5</v>
      </c>
      <c r="BA242" s="3">
        <v>1</v>
      </c>
      <c r="BB242" s="3">
        <v>9</v>
      </c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>
        <v>9</v>
      </c>
      <c r="BN242" s="3"/>
      <c r="BO242" s="3"/>
      <c r="BP242" s="3"/>
      <c r="BQ242" s="3">
        <v>5</v>
      </c>
      <c r="BR242" s="3">
        <v>5</v>
      </c>
      <c r="BS242" s="3"/>
      <c r="BT242" s="19">
        <v>7</v>
      </c>
      <c r="BU242" s="3">
        <v>9</v>
      </c>
      <c r="BV242" s="19">
        <v>5</v>
      </c>
      <c r="BW242" s="19">
        <v>5</v>
      </c>
      <c r="BX242" s="19">
        <v>5</v>
      </c>
      <c r="BY242" s="3"/>
      <c r="BZ242" s="19">
        <v>9</v>
      </c>
      <c r="CA242" s="19">
        <v>7</v>
      </c>
      <c r="CB242" s="19">
        <v>6</v>
      </c>
      <c r="CC242" s="19">
        <v>5</v>
      </c>
      <c r="CD242" s="3">
        <v>8</v>
      </c>
      <c r="CE242" s="19">
        <v>3</v>
      </c>
      <c r="CF242" s="19">
        <v>5</v>
      </c>
      <c r="CG242" s="3"/>
      <c r="CH242" s="3">
        <v>6</v>
      </c>
      <c r="CI242" s="3">
        <v>3</v>
      </c>
      <c r="CJ242" s="19">
        <v>5</v>
      </c>
      <c r="CK242" s="19">
        <v>6</v>
      </c>
      <c r="CL242" s="19">
        <v>8</v>
      </c>
      <c r="CM242" s="19">
        <v>3</v>
      </c>
      <c r="CN242" s="3" t="s">
        <v>1185</v>
      </c>
      <c r="CO242" s="3" t="s">
        <v>1185</v>
      </c>
      <c r="CP242" s="3" t="s">
        <v>1185</v>
      </c>
      <c r="CQ242" s="3" t="s">
        <v>1185</v>
      </c>
      <c r="CR242" s="3" t="s">
        <v>1185</v>
      </c>
      <c r="CS242" s="3" t="s">
        <v>1185</v>
      </c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R242" s="3"/>
      <c r="DU242" s="3"/>
      <c r="DV242" s="3"/>
      <c r="DW242" s="3"/>
    </row>
    <row r="243" spans="1:134" ht="15" customHeight="1" x14ac:dyDescent="0.25">
      <c r="A243" s="6" t="s">
        <v>382</v>
      </c>
      <c r="B243" s="2" t="s">
        <v>784</v>
      </c>
      <c r="C243" s="2" t="s">
        <v>1433</v>
      </c>
      <c r="D243" s="25" t="s">
        <v>1183</v>
      </c>
      <c r="E243" s="4" t="s">
        <v>1190</v>
      </c>
      <c r="F243" s="4" t="s">
        <v>1408</v>
      </c>
      <c r="G243" s="26">
        <v>1991</v>
      </c>
      <c r="H243" s="5"/>
      <c r="I243" s="5"/>
      <c r="J243" s="5"/>
      <c r="M243" s="5"/>
      <c r="N243" s="2" t="s">
        <v>1434</v>
      </c>
      <c r="O243" s="28" t="s">
        <v>2587</v>
      </c>
      <c r="P243" s="3"/>
      <c r="Q243" s="27">
        <v>1</v>
      </c>
      <c r="R243" s="3"/>
      <c r="S243" s="3"/>
      <c r="T243" s="3"/>
      <c r="U243" s="3"/>
      <c r="V243" s="3"/>
      <c r="W243" s="3">
        <v>4</v>
      </c>
      <c r="X243" s="3"/>
      <c r="Z243" s="3"/>
      <c r="AA243" s="3"/>
      <c r="AB243" s="3">
        <v>8</v>
      </c>
      <c r="AC243" s="3">
        <v>6</v>
      </c>
      <c r="AD243" s="3"/>
      <c r="AE243" s="3"/>
      <c r="AF243" s="3">
        <v>1</v>
      </c>
      <c r="AG243" s="3"/>
      <c r="AH243" s="3"/>
      <c r="AI243" s="3"/>
      <c r="AJ243" s="3">
        <v>6</v>
      </c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>
        <v>5</v>
      </c>
      <c r="AY243" s="3"/>
      <c r="AZ243" s="3">
        <v>3</v>
      </c>
      <c r="BA243" s="3">
        <v>1</v>
      </c>
      <c r="BB243" s="3">
        <v>9</v>
      </c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>
        <v>9</v>
      </c>
      <c r="BN243" s="3"/>
      <c r="BO243" s="3"/>
      <c r="BP243" s="3"/>
      <c r="BQ243" s="3">
        <v>6</v>
      </c>
      <c r="BR243" s="3">
        <v>8</v>
      </c>
      <c r="BS243" s="3">
        <v>8</v>
      </c>
      <c r="BT243" s="19">
        <v>7</v>
      </c>
      <c r="BU243" s="3">
        <v>5</v>
      </c>
      <c r="BV243" s="19">
        <v>5</v>
      </c>
      <c r="BW243" s="19">
        <v>7</v>
      </c>
      <c r="BX243" s="19">
        <v>6</v>
      </c>
      <c r="BY243" s="19">
        <v>5</v>
      </c>
      <c r="BZ243" s="19">
        <v>6</v>
      </c>
      <c r="CA243" s="19">
        <v>7</v>
      </c>
      <c r="CB243" s="19">
        <v>9</v>
      </c>
      <c r="CC243" s="19">
        <v>7</v>
      </c>
      <c r="CD243" s="3">
        <v>5</v>
      </c>
      <c r="CE243" s="19">
        <v>7</v>
      </c>
      <c r="CF243" s="3">
        <v>5</v>
      </c>
      <c r="CG243" s="19">
        <v>9</v>
      </c>
      <c r="CH243" s="3">
        <v>7</v>
      </c>
      <c r="CI243" s="3">
        <v>5</v>
      </c>
      <c r="CJ243" s="3">
        <v>5</v>
      </c>
      <c r="CK243" s="3">
        <v>5</v>
      </c>
      <c r="CL243" s="3">
        <v>7</v>
      </c>
      <c r="CM243" s="3" t="s">
        <v>1185</v>
      </c>
      <c r="CN243" s="3" t="s">
        <v>1185</v>
      </c>
      <c r="CO243" s="3"/>
      <c r="CP243" s="3" t="s">
        <v>1185</v>
      </c>
      <c r="CQ243" s="3" t="s">
        <v>1185</v>
      </c>
      <c r="CR243" s="3" t="s">
        <v>1185</v>
      </c>
      <c r="CS243" s="3" t="s">
        <v>1185</v>
      </c>
      <c r="CT243" s="3">
        <v>6</v>
      </c>
      <c r="CU243" s="3">
        <v>6</v>
      </c>
      <c r="CV243" s="3">
        <v>7</v>
      </c>
      <c r="CW243" s="3">
        <v>4</v>
      </c>
      <c r="CX243" s="3">
        <v>5</v>
      </c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R243" s="3"/>
    </row>
    <row r="244" spans="1:134" ht="15" customHeight="1" x14ac:dyDescent="0.25">
      <c r="A244" s="6" t="s">
        <v>383</v>
      </c>
      <c r="B244" s="2" t="s">
        <v>784</v>
      </c>
      <c r="C244" s="2" t="s">
        <v>1435</v>
      </c>
      <c r="D244" s="25" t="s">
        <v>1183</v>
      </c>
      <c r="E244" s="4" t="s">
        <v>1190</v>
      </c>
      <c r="F244" s="4" t="s">
        <v>788</v>
      </c>
      <c r="G244" s="26">
        <v>1988</v>
      </c>
      <c r="H244" s="5"/>
      <c r="I244" s="5"/>
      <c r="J244" s="5"/>
      <c r="M244" s="5"/>
      <c r="N244" s="2" t="s">
        <v>1436</v>
      </c>
      <c r="O244" s="28" t="s">
        <v>2588</v>
      </c>
      <c r="P244" s="3"/>
      <c r="Q244" s="27">
        <v>2</v>
      </c>
      <c r="R244" s="3"/>
      <c r="S244" s="3"/>
      <c r="T244" s="3"/>
      <c r="U244" s="3"/>
      <c r="V244" s="3"/>
      <c r="W244" s="3">
        <v>4</v>
      </c>
      <c r="X244" s="3"/>
      <c r="Z244" s="3"/>
      <c r="AA244" s="3"/>
      <c r="AB244" s="3">
        <v>7</v>
      </c>
      <c r="AC244" s="3">
        <v>7</v>
      </c>
      <c r="AD244" s="3"/>
      <c r="AE244" s="3"/>
      <c r="AF244" s="3"/>
      <c r="AG244" s="3"/>
      <c r="AH244" s="3"/>
      <c r="AI244" s="3"/>
      <c r="AJ244" s="3">
        <v>6</v>
      </c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>
        <v>5</v>
      </c>
      <c r="AY244" s="3"/>
      <c r="AZ244" s="3">
        <v>3</v>
      </c>
      <c r="BA244" s="3"/>
      <c r="BB244" s="3">
        <v>9</v>
      </c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 t="s">
        <v>1185</v>
      </c>
      <c r="CN244" s="3" t="s">
        <v>1185</v>
      </c>
      <c r="CO244" s="3"/>
      <c r="CP244" s="3" t="s">
        <v>1185</v>
      </c>
      <c r="CQ244" s="3" t="s">
        <v>1185</v>
      </c>
      <c r="CR244" s="3" t="s">
        <v>1185</v>
      </c>
      <c r="CS244" s="3" t="s">
        <v>1185</v>
      </c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R244" s="3">
        <v>9</v>
      </c>
    </row>
    <row r="245" spans="1:134" ht="15" customHeight="1" x14ac:dyDescent="0.25">
      <c r="A245" s="6" t="s">
        <v>384</v>
      </c>
      <c r="B245" s="2" t="s">
        <v>784</v>
      </c>
      <c r="C245" s="2" t="s">
        <v>1437</v>
      </c>
      <c r="D245" s="25" t="s">
        <v>1183</v>
      </c>
      <c r="E245" s="4" t="s">
        <v>1190</v>
      </c>
      <c r="F245" s="4" t="s">
        <v>801</v>
      </c>
      <c r="G245" s="26">
        <v>1989</v>
      </c>
      <c r="H245" s="5"/>
      <c r="I245" s="5"/>
      <c r="J245" s="5"/>
      <c r="M245" s="5"/>
      <c r="N245" s="2" t="s">
        <v>1438</v>
      </c>
      <c r="O245" s="28" t="s">
        <v>2589</v>
      </c>
      <c r="P245" s="3"/>
      <c r="Q245" s="27">
        <v>2</v>
      </c>
      <c r="R245" s="3"/>
      <c r="S245" s="3"/>
      <c r="T245" s="3"/>
      <c r="U245" s="3"/>
      <c r="V245" s="3"/>
      <c r="W245" s="3">
        <v>4</v>
      </c>
      <c r="X245" s="3"/>
      <c r="Z245" s="3"/>
      <c r="AA245" s="3"/>
      <c r="AB245" s="3">
        <v>2</v>
      </c>
      <c r="AC245" s="3">
        <v>6</v>
      </c>
      <c r="AD245" s="3"/>
      <c r="AE245" s="3"/>
      <c r="AF245" s="3"/>
      <c r="AG245" s="3"/>
      <c r="AH245" s="3"/>
      <c r="AI245" s="3"/>
      <c r="AJ245" s="3">
        <v>6</v>
      </c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>
        <v>3</v>
      </c>
      <c r="AY245" s="3"/>
      <c r="AZ245" s="3">
        <v>3</v>
      </c>
      <c r="BA245" s="3"/>
      <c r="BB245" s="3">
        <v>9</v>
      </c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>
        <v>9</v>
      </c>
      <c r="BN245" s="3"/>
      <c r="BO245" s="3"/>
      <c r="BP245" s="3"/>
      <c r="BQ245" s="3">
        <v>2</v>
      </c>
      <c r="BR245" s="3">
        <v>1</v>
      </c>
      <c r="BS245" s="3"/>
      <c r="BT245" s="3"/>
      <c r="BU245" s="3">
        <v>3</v>
      </c>
      <c r="BV245" s="19">
        <v>2</v>
      </c>
      <c r="BW245" s="19">
        <v>3</v>
      </c>
      <c r="BX245" s="19">
        <v>3</v>
      </c>
      <c r="BY245" s="3"/>
      <c r="BZ245" s="19">
        <v>9</v>
      </c>
      <c r="CA245" s="19">
        <v>2</v>
      </c>
      <c r="CB245" s="19">
        <v>1</v>
      </c>
      <c r="CC245" s="19">
        <v>2</v>
      </c>
      <c r="CD245" s="3">
        <v>7</v>
      </c>
      <c r="CE245" s="19">
        <v>1</v>
      </c>
      <c r="CF245" s="19">
        <v>9</v>
      </c>
      <c r="CG245" s="3"/>
      <c r="CH245" s="3"/>
      <c r="CI245" s="3">
        <v>8</v>
      </c>
      <c r="CJ245" s="19">
        <v>1</v>
      </c>
      <c r="CK245" s="19">
        <v>9</v>
      </c>
      <c r="CL245" s="19">
        <v>7</v>
      </c>
      <c r="CM245" s="19">
        <v>8</v>
      </c>
      <c r="CN245" s="3" t="s">
        <v>1185</v>
      </c>
      <c r="CO245" s="3" t="s">
        <v>1185</v>
      </c>
      <c r="CP245" s="3" t="s">
        <v>1185</v>
      </c>
      <c r="CQ245" s="3" t="s">
        <v>1185</v>
      </c>
      <c r="CR245" s="3" t="s">
        <v>1185</v>
      </c>
      <c r="CS245" s="3" t="s">
        <v>1185</v>
      </c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19">
        <v>9</v>
      </c>
      <c r="DR245" s="3"/>
    </row>
    <row r="246" spans="1:134" ht="15" customHeight="1" x14ac:dyDescent="0.25">
      <c r="A246" s="6" t="s">
        <v>385</v>
      </c>
      <c r="B246" s="2" t="s">
        <v>784</v>
      </c>
      <c r="C246" s="2" t="s">
        <v>1439</v>
      </c>
      <c r="D246" s="25" t="s">
        <v>1183</v>
      </c>
      <c r="E246" s="4" t="s">
        <v>1190</v>
      </c>
      <c r="F246" s="4" t="s">
        <v>809</v>
      </c>
      <c r="G246" s="26">
        <v>1990</v>
      </c>
      <c r="H246" s="5"/>
      <c r="I246" s="5"/>
      <c r="J246" s="5"/>
      <c r="M246" s="5"/>
      <c r="N246" s="2" t="s">
        <v>1440</v>
      </c>
      <c r="O246" s="28" t="s">
        <v>2590</v>
      </c>
      <c r="P246" s="3"/>
      <c r="Q246" s="27">
        <v>2</v>
      </c>
      <c r="R246" s="3"/>
      <c r="S246" s="3"/>
      <c r="T246" s="3"/>
      <c r="U246" s="3"/>
      <c r="V246" s="3"/>
      <c r="W246" s="3">
        <v>4</v>
      </c>
      <c r="X246" s="3"/>
      <c r="Z246" s="3"/>
      <c r="AA246" s="3"/>
      <c r="AB246" s="3">
        <v>8</v>
      </c>
      <c r="AC246" s="3">
        <v>6</v>
      </c>
      <c r="AD246" s="3"/>
      <c r="AE246" s="3"/>
      <c r="AF246" s="3"/>
      <c r="AG246" s="3"/>
      <c r="AH246" s="3"/>
      <c r="AI246" s="3"/>
      <c r="AJ246" s="3">
        <v>7</v>
      </c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>
        <v>3</v>
      </c>
      <c r="AY246" s="3"/>
      <c r="AZ246" s="3">
        <v>4</v>
      </c>
      <c r="BA246" s="3"/>
      <c r="BB246" s="3">
        <v>9</v>
      </c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>
        <v>9</v>
      </c>
      <c r="BN246" s="3"/>
      <c r="BO246" s="3"/>
      <c r="BP246" s="3"/>
      <c r="BQ246" s="3">
        <v>9</v>
      </c>
      <c r="BR246" s="3"/>
      <c r="BS246" s="3">
        <v>7</v>
      </c>
      <c r="BT246" s="19">
        <v>9</v>
      </c>
      <c r="BU246" s="3">
        <v>5</v>
      </c>
      <c r="BV246" s="19">
        <v>9</v>
      </c>
      <c r="BW246" s="19">
        <v>9</v>
      </c>
      <c r="BX246" s="19">
        <v>8</v>
      </c>
      <c r="BY246" s="3"/>
      <c r="BZ246" s="19">
        <v>8</v>
      </c>
      <c r="CA246" s="19">
        <v>9</v>
      </c>
      <c r="CB246" s="19">
        <v>9</v>
      </c>
      <c r="CC246" s="19">
        <v>9</v>
      </c>
      <c r="CD246" s="3">
        <v>9</v>
      </c>
      <c r="CE246" s="19">
        <v>8</v>
      </c>
      <c r="CF246" s="3">
        <v>9</v>
      </c>
      <c r="CG246" s="3"/>
      <c r="CH246" s="3">
        <v>9</v>
      </c>
      <c r="CI246" s="3">
        <v>9</v>
      </c>
      <c r="CJ246" s="3">
        <v>5</v>
      </c>
      <c r="CK246" s="3">
        <v>9</v>
      </c>
      <c r="CL246" s="3">
        <v>9</v>
      </c>
      <c r="CM246" s="3" t="s">
        <v>1185</v>
      </c>
      <c r="CN246" s="3" t="s">
        <v>1185</v>
      </c>
      <c r="CO246" s="3" t="s">
        <v>1185</v>
      </c>
      <c r="CP246" s="3" t="s">
        <v>1185</v>
      </c>
      <c r="CQ246" s="3" t="s">
        <v>1185</v>
      </c>
      <c r="CR246" s="3" t="s">
        <v>1185</v>
      </c>
      <c r="CS246" s="3" t="s">
        <v>1185</v>
      </c>
      <c r="CT246" s="3">
        <v>8</v>
      </c>
      <c r="CU246" s="3">
        <v>7</v>
      </c>
      <c r="CV246" s="3">
        <v>7</v>
      </c>
      <c r="CW246" s="3">
        <v>9</v>
      </c>
      <c r="CX246" s="3">
        <v>9</v>
      </c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R246" s="3"/>
    </row>
    <row r="247" spans="1:134" ht="15" customHeight="1" x14ac:dyDescent="0.25">
      <c r="A247" s="6" t="s">
        <v>386</v>
      </c>
      <c r="B247" s="2" t="s">
        <v>784</v>
      </c>
      <c r="C247" s="2" t="s">
        <v>1441</v>
      </c>
      <c r="D247" s="25" t="s">
        <v>1183</v>
      </c>
      <c r="E247" s="4" t="s">
        <v>1190</v>
      </c>
      <c r="F247" s="4" t="s">
        <v>793</v>
      </c>
      <c r="G247" s="26">
        <v>1992</v>
      </c>
      <c r="H247" s="5"/>
      <c r="I247" s="5"/>
      <c r="J247" s="5"/>
      <c r="M247" s="5"/>
      <c r="N247" s="2" t="s">
        <v>1442</v>
      </c>
      <c r="O247" s="28" t="s">
        <v>2591</v>
      </c>
      <c r="P247" s="3"/>
      <c r="Q247" s="27">
        <v>2</v>
      </c>
      <c r="R247" s="3"/>
      <c r="S247" s="3"/>
      <c r="T247" s="3"/>
      <c r="U247" s="3"/>
      <c r="V247" s="3"/>
      <c r="W247" s="3">
        <v>4</v>
      </c>
      <c r="X247" s="3"/>
      <c r="Z247" s="3"/>
      <c r="AA247" s="3"/>
      <c r="AB247" s="3">
        <v>6</v>
      </c>
      <c r="AC247" s="3">
        <v>6</v>
      </c>
      <c r="AD247" s="3"/>
      <c r="AE247" s="3"/>
      <c r="AF247" s="3"/>
      <c r="AG247" s="3"/>
      <c r="AH247" s="3"/>
      <c r="AI247" s="3"/>
      <c r="AJ247" s="3">
        <v>7</v>
      </c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>
        <v>4</v>
      </c>
      <c r="AY247" s="3"/>
      <c r="AZ247" s="3">
        <v>4</v>
      </c>
      <c r="BA247" s="3"/>
      <c r="BB247" s="3">
        <v>9</v>
      </c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>
        <v>9</v>
      </c>
      <c r="BN247" s="3"/>
      <c r="BO247" s="3"/>
      <c r="BP247" s="3"/>
      <c r="BQ247" s="3">
        <v>9</v>
      </c>
      <c r="BR247" s="3">
        <v>6</v>
      </c>
      <c r="BS247" s="3"/>
      <c r="BT247" s="19">
        <v>9</v>
      </c>
      <c r="BU247" s="3">
        <v>9</v>
      </c>
      <c r="BV247" s="19">
        <v>6</v>
      </c>
      <c r="BW247" s="19">
        <v>9</v>
      </c>
      <c r="BX247" s="19">
        <v>6</v>
      </c>
      <c r="BY247" s="3"/>
      <c r="BZ247" s="19">
        <v>9</v>
      </c>
      <c r="CA247" s="19">
        <v>8</v>
      </c>
      <c r="CB247" s="19">
        <v>8</v>
      </c>
      <c r="CC247" s="19">
        <v>7</v>
      </c>
      <c r="CD247" s="3">
        <v>9</v>
      </c>
      <c r="CE247" s="19">
        <v>9</v>
      </c>
      <c r="CF247" s="19">
        <v>9</v>
      </c>
      <c r="CG247" s="3"/>
      <c r="CH247" s="3">
        <v>9</v>
      </c>
      <c r="CI247" s="3"/>
      <c r="CJ247" s="19">
        <v>9</v>
      </c>
      <c r="CK247" s="19">
        <v>9</v>
      </c>
      <c r="CL247" s="19">
        <v>9</v>
      </c>
      <c r="CM247" s="3" t="s">
        <v>1185</v>
      </c>
      <c r="CN247" s="3" t="s">
        <v>1185</v>
      </c>
      <c r="CO247" s="3" t="s">
        <v>1185</v>
      </c>
      <c r="CP247" s="3" t="s">
        <v>1185</v>
      </c>
      <c r="CQ247" s="3" t="s">
        <v>1185</v>
      </c>
      <c r="CR247" s="3" t="s">
        <v>1185</v>
      </c>
      <c r="CS247" s="3" t="s">
        <v>1185</v>
      </c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19">
        <v>9</v>
      </c>
      <c r="DR247" s="3"/>
      <c r="EB247" s="3"/>
      <c r="EC247" s="3"/>
      <c r="ED247" s="3"/>
    </row>
    <row r="248" spans="1:134" ht="15" customHeight="1" x14ac:dyDescent="0.25">
      <c r="A248" s="6" t="s">
        <v>387</v>
      </c>
      <c r="B248" s="2" t="s">
        <v>784</v>
      </c>
      <c r="C248" s="2" t="s">
        <v>1443</v>
      </c>
      <c r="D248" s="25" t="s">
        <v>1183</v>
      </c>
      <c r="E248" s="4" t="s">
        <v>1190</v>
      </c>
      <c r="F248" s="4" t="s">
        <v>788</v>
      </c>
      <c r="G248" s="26">
        <v>1992</v>
      </c>
      <c r="H248" s="5"/>
      <c r="I248" s="5"/>
      <c r="J248" s="5"/>
      <c r="M248" s="5"/>
      <c r="N248" s="2" t="s">
        <v>1444</v>
      </c>
      <c r="O248" s="28" t="s">
        <v>2592</v>
      </c>
      <c r="P248" s="3"/>
      <c r="Q248" s="27">
        <v>2</v>
      </c>
      <c r="R248" s="3"/>
      <c r="S248" s="3"/>
      <c r="T248" s="3"/>
      <c r="U248" s="3"/>
      <c r="V248" s="3"/>
      <c r="W248" s="3">
        <v>4</v>
      </c>
      <c r="X248" s="3"/>
      <c r="Z248" s="3"/>
      <c r="AA248" s="3"/>
      <c r="AB248" s="3">
        <v>7</v>
      </c>
      <c r="AC248" s="3">
        <v>7</v>
      </c>
      <c r="AD248" s="3"/>
      <c r="AE248" s="3"/>
      <c r="AF248" s="3"/>
      <c r="AG248" s="3"/>
      <c r="AH248" s="3"/>
      <c r="AI248" s="3"/>
      <c r="AJ248" s="3">
        <v>7</v>
      </c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>
        <v>3</v>
      </c>
      <c r="AY248" s="3"/>
      <c r="AZ248" s="3">
        <v>4</v>
      </c>
      <c r="BA248" s="3"/>
      <c r="BB248" s="3">
        <v>9</v>
      </c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 t="s">
        <v>1185</v>
      </c>
      <c r="CN248" s="3" t="s">
        <v>1185</v>
      </c>
      <c r="CO248" s="3" t="s">
        <v>1185</v>
      </c>
      <c r="CP248" s="3" t="s">
        <v>1185</v>
      </c>
      <c r="CQ248" s="3" t="s">
        <v>1185</v>
      </c>
      <c r="CR248" s="3" t="s">
        <v>1185</v>
      </c>
      <c r="CS248" s="3" t="s">
        <v>1185</v>
      </c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R248" s="3">
        <v>9</v>
      </c>
    </row>
    <row r="249" spans="1:134" ht="15" customHeight="1" x14ac:dyDescent="0.25">
      <c r="A249" s="6" t="s">
        <v>388</v>
      </c>
      <c r="B249" s="2" t="s">
        <v>784</v>
      </c>
      <c r="C249" s="2" t="s">
        <v>1445</v>
      </c>
      <c r="D249" s="25" t="s">
        <v>1183</v>
      </c>
      <c r="E249" s="4" t="s">
        <v>1190</v>
      </c>
      <c r="F249" s="4" t="s">
        <v>788</v>
      </c>
      <c r="G249" s="26">
        <v>1992</v>
      </c>
      <c r="H249" s="5"/>
      <c r="I249" s="5"/>
      <c r="J249" s="5"/>
      <c r="M249" s="5"/>
      <c r="N249" s="2" t="s">
        <v>1446</v>
      </c>
      <c r="O249" s="28" t="s">
        <v>2593</v>
      </c>
      <c r="P249" s="3"/>
      <c r="Q249" s="27">
        <v>2</v>
      </c>
      <c r="R249" s="3"/>
      <c r="S249" s="3"/>
      <c r="T249" s="3"/>
      <c r="U249" s="3"/>
      <c r="V249" s="3"/>
      <c r="W249" s="3">
        <v>4</v>
      </c>
      <c r="X249" s="3"/>
      <c r="Z249" s="3"/>
      <c r="AA249" s="3"/>
      <c r="AB249" s="3">
        <v>8</v>
      </c>
      <c r="AC249" s="3">
        <v>6</v>
      </c>
      <c r="AD249" s="3"/>
      <c r="AE249" s="3"/>
      <c r="AF249" s="3"/>
      <c r="AG249" s="3"/>
      <c r="AH249" s="3"/>
      <c r="AI249" s="3"/>
      <c r="AJ249" s="3">
        <v>8</v>
      </c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>
        <v>4</v>
      </c>
      <c r="AY249" s="3"/>
      <c r="AZ249" s="3">
        <v>2</v>
      </c>
      <c r="BA249" s="3"/>
      <c r="BB249" s="3">
        <v>9</v>
      </c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>
        <v>9</v>
      </c>
      <c r="BN249" s="3"/>
      <c r="BO249" s="3"/>
      <c r="BP249" s="3"/>
      <c r="BQ249" s="3"/>
      <c r="BR249" s="3">
        <v>7</v>
      </c>
      <c r="BS249" s="3"/>
      <c r="BT249" s="19">
        <v>7</v>
      </c>
      <c r="BU249" s="3">
        <v>7</v>
      </c>
      <c r="BV249" s="19">
        <v>9</v>
      </c>
      <c r="BW249" s="19">
        <v>7</v>
      </c>
      <c r="BX249" s="19">
        <v>1</v>
      </c>
      <c r="BY249" s="19">
        <v>7</v>
      </c>
      <c r="BZ249" s="19">
        <v>8</v>
      </c>
      <c r="CA249" s="19">
        <v>9</v>
      </c>
      <c r="CB249" s="19">
        <v>9</v>
      </c>
      <c r="CC249" s="19">
        <v>9</v>
      </c>
      <c r="CD249" s="3">
        <v>9</v>
      </c>
      <c r="CE249" s="19">
        <v>9</v>
      </c>
      <c r="CF249" s="3">
        <v>9</v>
      </c>
      <c r="CG249" s="19">
        <v>9</v>
      </c>
      <c r="CH249" s="3">
        <v>9</v>
      </c>
      <c r="CI249" s="3">
        <v>9</v>
      </c>
      <c r="CJ249" s="3">
        <v>8</v>
      </c>
      <c r="CK249" s="3">
        <v>3</v>
      </c>
      <c r="CL249" s="3">
        <v>9</v>
      </c>
      <c r="CM249" s="3" t="s">
        <v>1185</v>
      </c>
      <c r="CN249" s="3" t="s">
        <v>1185</v>
      </c>
      <c r="CO249" s="3" t="s">
        <v>1185</v>
      </c>
      <c r="CP249" s="3" t="s">
        <v>1185</v>
      </c>
      <c r="CQ249" s="3" t="s">
        <v>1185</v>
      </c>
      <c r="CR249" s="3" t="s">
        <v>1185</v>
      </c>
      <c r="CS249" s="3" t="s">
        <v>1185</v>
      </c>
      <c r="CT249" s="3">
        <v>9</v>
      </c>
      <c r="CU249" s="3">
        <v>9</v>
      </c>
      <c r="CV249" s="3">
        <v>9</v>
      </c>
      <c r="CW249" s="3">
        <v>7</v>
      </c>
      <c r="CX249" s="3">
        <v>7</v>
      </c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R249" s="3"/>
    </row>
    <row r="250" spans="1:134" ht="15" customHeight="1" x14ac:dyDescent="0.25">
      <c r="A250" s="6" t="s">
        <v>389</v>
      </c>
      <c r="B250" s="2" t="s">
        <v>784</v>
      </c>
      <c r="C250" s="2" t="s">
        <v>1447</v>
      </c>
      <c r="D250" s="25" t="s">
        <v>1183</v>
      </c>
      <c r="E250" s="4" t="s">
        <v>1190</v>
      </c>
      <c r="F250" s="4" t="s">
        <v>793</v>
      </c>
      <c r="G250" s="26">
        <v>1992</v>
      </c>
      <c r="H250" s="5"/>
      <c r="I250" s="5"/>
      <c r="J250" s="5"/>
      <c r="M250" s="5"/>
      <c r="N250" s="2" t="s">
        <v>1448</v>
      </c>
      <c r="O250" s="28" t="s">
        <v>2594</v>
      </c>
      <c r="P250" s="3"/>
      <c r="Q250" s="27">
        <v>2</v>
      </c>
      <c r="R250" s="3"/>
      <c r="S250" s="3"/>
      <c r="T250" s="3"/>
      <c r="U250" s="3"/>
      <c r="V250" s="3"/>
      <c r="W250" s="3">
        <v>4</v>
      </c>
      <c r="X250" s="3"/>
      <c r="Z250" s="3"/>
      <c r="AA250" s="3"/>
      <c r="AB250" s="3">
        <v>5</v>
      </c>
      <c r="AC250" s="3">
        <v>6</v>
      </c>
      <c r="AD250" s="3"/>
      <c r="AE250" s="3"/>
      <c r="AF250" s="3"/>
      <c r="AG250" s="3"/>
      <c r="AH250" s="3"/>
      <c r="AI250" s="3"/>
      <c r="AJ250" s="3">
        <v>1</v>
      </c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>
        <v>2</v>
      </c>
      <c r="AY250" s="3"/>
      <c r="AZ250" s="3">
        <v>1</v>
      </c>
      <c r="BA250" s="3"/>
      <c r="BB250" s="3">
        <v>9</v>
      </c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>
        <v>9</v>
      </c>
      <c r="BN250" s="3"/>
      <c r="BO250" s="3"/>
      <c r="BP250" s="3"/>
      <c r="BQ250" s="3">
        <v>7</v>
      </c>
      <c r="BR250" s="3">
        <v>7</v>
      </c>
      <c r="BS250" s="3"/>
      <c r="BT250" s="19">
        <v>9</v>
      </c>
      <c r="BU250" s="3">
        <v>9</v>
      </c>
      <c r="BV250" s="19">
        <v>5</v>
      </c>
      <c r="BW250" s="19">
        <v>9</v>
      </c>
      <c r="BX250" s="19">
        <v>6</v>
      </c>
      <c r="BY250" s="3"/>
      <c r="BZ250" s="19">
        <v>9</v>
      </c>
      <c r="CA250" s="19">
        <v>9</v>
      </c>
      <c r="CB250" s="19">
        <v>8</v>
      </c>
      <c r="CC250" s="19">
        <v>8</v>
      </c>
      <c r="CD250" s="3">
        <v>9</v>
      </c>
      <c r="CE250" s="19">
        <v>7</v>
      </c>
      <c r="CF250" s="19">
        <v>9</v>
      </c>
      <c r="CG250" s="3"/>
      <c r="CH250" s="3">
        <v>9</v>
      </c>
      <c r="CI250" s="3">
        <v>9</v>
      </c>
      <c r="CJ250" s="19">
        <v>9</v>
      </c>
      <c r="CK250" s="19">
        <v>9</v>
      </c>
      <c r="CL250" s="19">
        <v>9</v>
      </c>
      <c r="CM250" s="19">
        <v>8</v>
      </c>
      <c r="CN250" s="3" t="s">
        <v>1185</v>
      </c>
      <c r="CO250" s="3" t="s">
        <v>1185</v>
      </c>
      <c r="CP250" s="3" t="s">
        <v>1185</v>
      </c>
      <c r="CQ250" s="3" t="s">
        <v>1185</v>
      </c>
      <c r="CR250" s="3" t="s">
        <v>1185</v>
      </c>
      <c r="CS250" s="3" t="s">
        <v>1185</v>
      </c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19">
        <v>9</v>
      </c>
      <c r="DR250" s="3"/>
    </row>
    <row r="251" spans="1:134" ht="15" customHeight="1" x14ac:dyDescent="0.25">
      <c r="A251" s="6" t="s">
        <v>390</v>
      </c>
      <c r="B251" s="2" t="s">
        <v>784</v>
      </c>
      <c r="C251" s="2" t="s">
        <v>1449</v>
      </c>
      <c r="D251" s="25" t="s">
        <v>1183</v>
      </c>
      <c r="E251" s="4" t="s">
        <v>1190</v>
      </c>
      <c r="F251" s="4" t="s">
        <v>1387</v>
      </c>
      <c r="G251" s="26">
        <v>1990</v>
      </c>
      <c r="H251" s="5"/>
      <c r="I251" s="5"/>
      <c r="J251" s="5"/>
      <c r="M251" s="5"/>
      <c r="N251" s="2" t="s">
        <v>1450</v>
      </c>
      <c r="O251" s="28" t="s">
        <v>2595</v>
      </c>
      <c r="P251" s="3"/>
      <c r="Q251" s="27">
        <v>2</v>
      </c>
      <c r="R251" s="3"/>
      <c r="S251" s="3"/>
      <c r="T251" s="3"/>
      <c r="U251" s="3"/>
      <c r="V251" s="3"/>
      <c r="W251" s="3">
        <v>4</v>
      </c>
      <c r="X251" s="3"/>
      <c r="Z251" s="3"/>
      <c r="AA251" s="3"/>
      <c r="AB251" s="3">
        <v>8</v>
      </c>
      <c r="AC251" s="3">
        <v>6</v>
      </c>
      <c r="AD251" s="3"/>
      <c r="AE251" s="3"/>
      <c r="AF251" s="3">
        <v>1</v>
      </c>
      <c r="AG251" s="3"/>
      <c r="AH251" s="3"/>
      <c r="AI251" s="3"/>
      <c r="AJ251" s="3">
        <v>5</v>
      </c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>
        <v>3</v>
      </c>
      <c r="AY251" s="3"/>
      <c r="AZ251" s="3">
        <v>5</v>
      </c>
      <c r="BA251" s="3">
        <v>1</v>
      </c>
      <c r="BB251" s="3">
        <v>9</v>
      </c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>
        <v>7</v>
      </c>
      <c r="BN251" s="3"/>
      <c r="BO251" s="3"/>
      <c r="BP251" s="3"/>
      <c r="BQ251" s="3">
        <v>1</v>
      </c>
      <c r="BR251" s="3">
        <v>1</v>
      </c>
      <c r="BS251" s="3"/>
      <c r="BT251" s="19">
        <v>1</v>
      </c>
      <c r="BU251" s="3">
        <v>1</v>
      </c>
      <c r="BV251" s="19">
        <v>1</v>
      </c>
      <c r="BW251" s="19">
        <v>1</v>
      </c>
      <c r="BX251" s="19">
        <v>1</v>
      </c>
      <c r="BY251" s="19">
        <v>1</v>
      </c>
      <c r="BZ251" s="19">
        <v>1</v>
      </c>
      <c r="CA251" s="3"/>
      <c r="CB251" s="19">
        <v>1</v>
      </c>
      <c r="CC251" s="19">
        <v>1</v>
      </c>
      <c r="CD251" s="3">
        <v>1</v>
      </c>
      <c r="CE251" s="19">
        <v>1</v>
      </c>
      <c r="CF251" s="3">
        <v>9</v>
      </c>
      <c r="CG251" s="19">
        <v>1</v>
      </c>
      <c r="CH251" s="3">
        <v>1</v>
      </c>
      <c r="CI251" s="3">
        <v>1</v>
      </c>
      <c r="CJ251" s="3">
        <v>1</v>
      </c>
      <c r="CK251" s="3">
        <v>1</v>
      </c>
      <c r="CL251" s="3">
        <v>4</v>
      </c>
      <c r="CM251" s="3" t="s">
        <v>1185</v>
      </c>
      <c r="CN251" s="3" t="s">
        <v>1185</v>
      </c>
      <c r="CO251" s="3" t="s">
        <v>1185</v>
      </c>
      <c r="CP251" s="3" t="s">
        <v>1185</v>
      </c>
      <c r="CQ251" s="3" t="s">
        <v>1185</v>
      </c>
      <c r="CR251" s="3" t="s">
        <v>1185</v>
      </c>
      <c r="CS251" s="3" t="s">
        <v>1185</v>
      </c>
      <c r="CT251" s="3">
        <v>1</v>
      </c>
      <c r="CU251" s="3">
        <v>1</v>
      </c>
      <c r="CV251" s="3">
        <v>1</v>
      </c>
      <c r="CW251" s="3">
        <v>5</v>
      </c>
      <c r="CX251" s="3">
        <v>1</v>
      </c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19">
        <v>1</v>
      </c>
      <c r="DR251" s="3"/>
    </row>
    <row r="252" spans="1:134" ht="15" customHeight="1" x14ac:dyDescent="0.25">
      <c r="A252" s="6" t="s">
        <v>391</v>
      </c>
      <c r="B252" s="2" t="s">
        <v>784</v>
      </c>
      <c r="C252" s="2" t="s">
        <v>1451</v>
      </c>
      <c r="D252" s="25" t="s">
        <v>1183</v>
      </c>
      <c r="E252" s="4" t="s">
        <v>1190</v>
      </c>
      <c r="F252" s="4" t="s">
        <v>813</v>
      </c>
      <c r="G252" s="26">
        <v>1986</v>
      </c>
      <c r="H252" s="5"/>
      <c r="I252" s="5"/>
      <c r="J252" s="5"/>
      <c r="M252" s="5"/>
      <c r="N252" s="2" t="s">
        <v>1452</v>
      </c>
      <c r="O252" s="28" t="s">
        <v>2596</v>
      </c>
      <c r="P252" s="3"/>
      <c r="Q252" s="27">
        <v>2</v>
      </c>
      <c r="R252" s="3"/>
      <c r="S252" s="3"/>
      <c r="T252" s="3"/>
      <c r="U252" s="3"/>
      <c r="V252" s="3"/>
      <c r="W252" s="3">
        <v>4</v>
      </c>
      <c r="X252" s="3"/>
      <c r="Z252" s="3"/>
      <c r="AA252" s="3"/>
      <c r="AB252" s="3">
        <v>7</v>
      </c>
      <c r="AC252" s="3">
        <v>5</v>
      </c>
      <c r="AD252" s="3"/>
      <c r="AE252" s="3"/>
      <c r="AF252" s="3"/>
      <c r="AG252" s="3"/>
      <c r="AH252" s="3"/>
      <c r="AI252" s="3"/>
      <c r="AJ252" s="3">
        <v>6</v>
      </c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>
        <v>3</v>
      </c>
      <c r="AY252" s="3"/>
      <c r="AZ252" s="3">
        <v>3</v>
      </c>
      <c r="BA252" s="3">
        <v>1</v>
      </c>
      <c r="BB252" s="3">
        <v>9</v>
      </c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>
        <v>9</v>
      </c>
      <c r="BN252" s="3"/>
      <c r="BO252" s="3"/>
      <c r="BP252" s="3"/>
      <c r="BQ252" s="3">
        <v>8</v>
      </c>
      <c r="BR252" s="3">
        <v>9</v>
      </c>
      <c r="BS252" s="3"/>
      <c r="BT252" s="3"/>
      <c r="BU252" s="3">
        <v>9</v>
      </c>
      <c r="BV252" s="19">
        <v>5</v>
      </c>
      <c r="BW252" s="19">
        <v>9</v>
      </c>
      <c r="BX252" s="19">
        <v>5</v>
      </c>
      <c r="BY252" s="3"/>
      <c r="BZ252" s="19">
        <v>9</v>
      </c>
      <c r="CA252" s="19">
        <v>9</v>
      </c>
      <c r="CB252" s="19">
        <v>8</v>
      </c>
      <c r="CC252" s="19">
        <v>9</v>
      </c>
      <c r="CD252" s="3">
        <v>9</v>
      </c>
      <c r="CE252" s="3"/>
      <c r="CF252" s="19">
        <v>9</v>
      </c>
      <c r="CG252" s="3"/>
      <c r="CH252" s="3">
        <v>9</v>
      </c>
      <c r="CI252" s="3">
        <v>2</v>
      </c>
      <c r="CJ252" s="19">
        <v>9</v>
      </c>
      <c r="CK252" s="19">
        <v>9</v>
      </c>
      <c r="CL252" s="19">
        <v>8</v>
      </c>
      <c r="CM252" s="19">
        <v>8</v>
      </c>
      <c r="CN252" s="3" t="s">
        <v>1185</v>
      </c>
      <c r="CO252" s="3"/>
      <c r="CP252" s="3" t="s">
        <v>1185</v>
      </c>
      <c r="CQ252" s="3" t="s">
        <v>1185</v>
      </c>
      <c r="CR252" s="3" t="s">
        <v>1185</v>
      </c>
      <c r="CS252" s="3" t="s">
        <v>1185</v>
      </c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R252" s="3">
        <v>9</v>
      </c>
    </row>
    <row r="253" spans="1:134" ht="15" customHeight="1" x14ac:dyDescent="0.25">
      <c r="A253" s="6" t="s">
        <v>392</v>
      </c>
      <c r="B253" s="2" t="s">
        <v>784</v>
      </c>
      <c r="C253" s="2" t="s">
        <v>1453</v>
      </c>
      <c r="D253" s="25" t="s">
        <v>1183</v>
      </c>
      <c r="E253" s="4" t="s">
        <v>1190</v>
      </c>
      <c r="F253" s="4" t="s">
        <v>1225</v>
      </c>
      <c r="G253" s="26">
        <v>1992</v>
      </c>
      <c r="H253" s="5"/>
      <c r="I253" s="5"/>
      <c r="J253" s="5"/>
      <c r="M253" s="5"/>
      <c r="N253" s="2" t="s">
        <v>1454</v>
      </c>
      <c r="O253" s="28" t="s">
        <v>2597</v>
      </c>
      <c r="P253" s="3"/>
      <c r="Q253" s="27">
        <v>2</v>
      </c>
      <c r="R253" s="3"/>
      <c r="S253" s="3"/>
      <c r="T253" s="3"/>
      <c r="U253" s="3"/>
      <c r="V253" s="3"/>
      <c r="W253" s="3">
        <v>4</v>
      </c>
      <c r="X253" s="3"/>
      <c r="Z253" s="3"/>
      <c r="AA253" s="3"/>
      <c r="AB253" s="3">
        <v>8</v>
      </c>
      <c r="AC253" s="3">
        <v>6</v>
      </c>
      <c r="AD253" s="3"/>
      <c r="AE253" s="3"/>
      <c r="AF253" s="3"/>
      <c r="AG253" s="3"/>
      <c r="AH253" s="3"/>
      <c r="AI253" s="3"/>
      <c r="AJ253" s="3">
        <v>6</v>
      </c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>
        <v>5</v>
      </c>
      <c r="AY253" s="3"/>
      <c r="AZ253" s="3">
        <v>3</v>
      </c>
      <c r="BA253" s="3">
        <v>1</v>
      </c>
      <c r="BB253" s="3">
        <v>9</v>
      </c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>
        <v>9</v>
      </c>
      <c r="BN253" s="3"/>
      <c r="BO253" s="3"/>
      <c r="BP253" s="3"/>
      <c r="BQ253" s="3">
        <v>8</v>
      </c>
      <c r="BR253" s="3">
        <v>9</v>
      </c>
      <c r="BS253" s="3"/>
      <c r="BT253" s="19">
        <v>9</v>
      </c>
      <c r="BU253" s="3">
        <v>9</v>
      </c>
      <c r="BV253" s="19">
        <v>6</v>
      </c>
      <c r="BW253" s="19">
        <v>9</v>
      </c>
      <c r="BX253" s="19">
        <v>7</v>
      </c>
      <c r="BY253" s="3"/>
      <c r="BZ253" s="19">
        <v>9</v>
      </c>
      <c r="CA253" s="19">
        <v>9</v>
      </c>
      <c r="CB253" s="19">
        <v>7</v>
      </c>
      <c r="CC253" s="19">
        <v>9</v>
      </c>
      <c r="CD253" s="3">
        <v>8</v>
      </c>
      <c r="CE253" s="19">
        <v>8</v>
      </c>
      <c r="CF253" s="19">
        <v>9</v>
      </c>
      <c r="CG253" s="3"/>
      <c r="CH253" s="3">
        <v>9</v>
      </c>
      <c r="CI253" s="3">
        <v>9</v>
      </c>
      <c r="CJ253" s="19">
        <v>9</v>
      </c>
      <c r="CK253" s="19">
        <v>9</v>
      </c>
      <c r="CL253" s="19">
        <v>9</v>
      </c>
      <c r="CM253" s="19">
        <v>9</v>
      </c>
      <c r="CN253" s="3" t="s">
        <v>1185</v>
      </c>
      <c r="CO253" s="3" t="s">
        <v>1185</v>
      </c>
      <c r="CP253" s="3" t="s">
        <v>1185</v>
      </c>
      <c r="CQ253" s="3" t="s">
        <v>1185</v>
      </c>
      <c r="CR253" s="3" t="s">
        <v>1185</v>
      </c>
      <c r="CS253" s="3" t="s">
        <v>1185</v>
      </c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R253" s="3">
        <v>9</v>
      </c>
      <c r="EB253" s="3"/>
      <c r="EC253" s="3"/>
      <c r="ED253" s="3"/>
    </row>
    <row r="254" spans="1:134" ht="15" customHeight="1" x14ac:dyDescent="0.25">
      <c r="A254" s="6" t="s">
        <v>393</v>
      </c>
      <c r="B254" s="2" t="s">
        <v>784</v>
      </c>
      <c r="C254" s="2" t="s">
        <v>1455</v>
      </c>
      <c r="D254" s="25" t="s">
        <v>1183</v>
      </c>
      <c r="E254" s="4" t="s">
        <v>1190</v>
      </c>
      <c r="F254" s="4" t="s">
        <v>809</v>
      </c>
      <c r="G254" s="26">
        <v>1992</v>
      </c>
      <c r="H254" s="5"/>
      <c r="I254" s="5"/>
      <c r="J254" s="5"/>
      <c r="M254" s="5"/>
      <c r="N254" s="2" t="s">
        <v>1456</v>
      </c>
      <c r="O254" s="28" t="s">
        <v>2598</v>
      </c>
      <c r="P254" s="3"/>
      <c r="Q254" s="27">
        <v>2</v>
      </c>
      <c r="R254" s="3"/>
      <c r="S254" s="3"/>
      <c r="T254" s="3"/>
      <c r="U254" s="3"/>
      <c r="V254" s="3"/>
      <c r="W254" s="3">
        <v>4</v>
      </c>
      <c r="X254" s="3"/>
      <c r="Z254" s="3"/>
      <c r="AA254" s="3"/>
      <c r="AB254" s="3">
        <v>8</v>
      </c>
      <c r="AC254" s="3">
        <v>5</v>
      </c>
      <c r="AD254" s="3"/>
      <c r="AE254" s="3"/>
      <c r="AF254" s="3"/>
      <c r="AG254" s="3"/>
      <c r="AH254" s="3"/>
      <c r="AI254" s="3"/>
      <c r="AJ254" s="3">
        <v>6</v>
      </c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>
        <v>4</v>
      </c>
      <c r="AY254" s="3"/>
      <c r="AZ254" s="3">
        <v>3</v>
      </c>
      <c r="BA254" s="3">
        <v>1</v>
      </c>
      <c r="BB254" s="3">
        <v>9</v>
      </c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>
        <v>9</v>
      </c>
      <c r="BN254" s="3"/>
      <c r="BO254" s="3"/>
      <c r="BP254" s="3"/>
      <c r="BQ254" s="3">
        <v>8</v>
      </c>
      <c r="BR254" s="3">
        <v>7</v>
      </c>
      <c r="BS254" s="3"/>
      <c r="BT254" s="19">
        <v>9</v>
      </c>
      <c r="BU254" s="3">
        <v>9</v>
      </c>
      <c r="BV254" s="19">
        <v>6</v>
      </c>
      <c r="BW254" s="19">
        <v>9</v>
      </c>
      <c r="BX254" s="19">
        <v>7</v>
      </c>
      <c r="BY254" s="3"/>
      <c r="BZ254" s="19">
        <v>9</v>
      </c>
      <c r="CA254" s="19">
        <v>8</v>
      </c>
      <c r="CB254" s="19">
        <v>3</v>
      </c>
      <c r="CC254" s="19">
        <v>7</v>
      </c>
      <c r="CD254" s="3">
        <v>7</v>
      </c>
      <c r="CE254" s="19">
        <v>3</v>
      </c>
      <c r="CF254" s="19">
        <v>9</v>
      </c>
      <c r="CG254" s="3"/>
      <c r="CH254" s="3"/>
      <c r="CI254" s="3">
        <v>7</v>
      </c>
      <c r="CJ254" s="19">
        <v>8</v>
      </c>
      <c r="CK254" s="19">
        <v>7</v>
      </c>
      <c r="CL254" s="19">
        <v>9</v>
      </c>
      <c r="CM254" s="19">
        <v>8</v>
      </c>
      <c r="CN254" s="3" t="s">
        <v>1185</v>
      </c>
      <c r="CO254" s="3" t="s">
        <v>1185</v>
      </c>
      <c r="CP254" s="3" t="s">
        <v>1185</v>
      </c>
      <c r="CQ254" s="3" t="s">
        <v>1185</v>
      </c>
      <c r="CR254" s="3" t="s">
        <v>1185</v>
      </c>
      <c r="CS254" s="3" t="s">
        <v>1185</v>
      </c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19">
        <v>9</v>
      </c>
      <c r="DR254" s="3"/>
    </row>
    <row r="255" spans="1:134" ht="15" customHeight="1" x14ac:dyDescent="0.25">
      <c r="A255" s="6" t="s">
        <v>394</v>
      </c>
      <c r="B255" s="2" t="s">
        <v>784</v>
      </c>
      <c r="C255" s="2" t="s">
        <v>1457</v>
      </c>
      <c r="D255" s="25" t="s">
        <v>1183</v>
      </c>
      <c r="E255" s="4" t="s">
        <v>1190</v>
      </c>
      <c r="F255" s="4" t="s">
        <v>809</v>
      </c>
      <c r="G255" s="26">
        <v>1992</v>
      </c>
      <c r="H255" s="5"/>
      <c r="I255" s="5"/>
      <c r="J255" s="5"/>
      <c r="M255" s="5"/>
      <c r="N255" s="2" t="s">
        <v>1458</v>
      </c>
      <c r="O255" s="28" t="s">
        <v>2599</v>
      </c>
      <c r="P255" s="3"/>
      <c r="Q255" s="27">
        <v>2</v>
      </c>
      <c r="R255" s="3"/>
      <c r="S255" s="3"/>
      <c r="T255" s="3"/>
      <c r="U255" s="3"/>
      <c r="V255" s="3"/>
      <c r="W255" s="3">
        <v>4</v>
      </c>
      <c r="X255" s="3"/>
      <c r="Z255" s="3"/>
      <c r="AA255" s="3"/>
      <c r="AB255" s="3">
        <v>7</v>
      </c>
      <c r="AC255" s="3">
        <v>5</v>
      </c>
      <c r="AD255" s="3"/>
      <c r="AE255" s="3"/>
      <c r="AF255" s="3"/>
      <c r="AG255" s="3"/>
      <c r="AH255" s="3"/>
      <c r="AI255" s="3"/>
      <c r="AJ255" s="3">
        <v>6</v>
      </c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>
        <v>5</v>
      </c>
      <c r="AY255" s="3"/>
      <c r="AZ255" s="3">
        <v>3</v>
      </c>
      <c r="BA255" s="3">
        <v>1</v>
      </c>
      <c r="BB255" s="3">
        <v>9</v>
      </c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>
        <v>9</v>
      </c>
      <c r="BN255" s="3"/>
      <c r="BO255" s="3"/>
      <c r="BP255" s="3"/>
      <c r="BQ255" s="3">
        <v>1</v>
      </c>
      <c r="BR255" s="3">
        <v>1</v>
      </c>
      <c r="BS255" s="3"/>
      <c r="BT255" s="19">
        <v>1</v>
      </c>
      <c r="BU255" s="3">
        <v>1</v>
      </c>
      <c r="BV255" s="19">
        <v>1</v>
      </c>
      <c r="BW255" s="19">
        <v>1</v>
      </c>
      <c r="BX255" s="19">
        <v>1</v>
      </c>
      <c r="BY255" s="3"/>
      <c r="BZ255" s="19">
        <v>1</v>
      </c>
      <c r="CA255" s="19">
        <v>2</v>
      </c>
      <c r="CB255" s="19">
        <v>1</v>
      </c>
      <c r="CC255" s="19">
        <v>1</v>
      </c>
      <c r="CD255" s="3">
        <v>1</v>
      </c>
      <c r="CE255" s="19">
        <v>1</v>
      </c>
      <c r="CF255" s="19">
        <v>1</v>
      </c>
      <c r="CG255" s="3"/>
      <c r="CH255" s="3">
        <v>1</v>
      </c>
      <c r="CI255" s="3">
        <v>1</v>
      </c>
      <c r="CJ255" s="19">
        <v>1</v>
      </c>
      <c r="CK255" s="19">
        <v>1</v>
      </c>
      <c r="CL255" s="19">
        <v>1</v>
      </c>
      <c r="CM255" s="19">
        <v>1</v>
      </c>
      <c r="CN255" s="3" t="s">
        <v>1185</v>
      </c>
      <c r="CO255" s="3"/>
      <c r="CP255" s="3" t="s">
        <v>1185</v>
      </c>
      <c r="CQ255" s="3" t="s">
        <v>1185</v>
      </c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19">
        <v>1</v>
      </c>
      <c r="DR255" s="3"/>
      <c r="DU255" s="3"/>
      <c r="DV255" s="3"/>
      <c r="DW255" s="3"/>
    </row>
    <row r="256" spans="1:134" ht="15" customHeight="1" x14ac:dyDescent="0.25">
      <c r="A256" s="6" t="s">
        <v>395</v>
      </c>
      <c r="B256" s="2" t="s">
        <v>784</v>
      </c>
      <c r="C256" s="2" t="s">
        <v>1459</v>
      </c>
      <c r="D256" s="25" t="s">
        <v>1183</v>
      </c>
      <c r="E256" s="4" t="s">
        <v>1190</v>
      </c>
      <c r="F256" s="4" t="s">
        <v>793</v>
      </c>
      <c r="G256" s="29"/>
      <c r="H256" s="5"/>
      <c r="I256" s="5"/>
      <c r="J256" s="5"/>
      <c r="M256" s="5"/>
      <c r="N256" s="2" t="s">
        <v>1460</v>
      </c>
      <c r="O256" s="28" t="s">
        <v>2600</v>
      </c>
      <c r="P256" s="3"/>
      <c r="Q256" s="27">
        <v>2</v>
      </c>
      <c r="R256" s="3"/>
      <c r="S256" s="3"/>
      <c r="T256" s="3"/>
      <c r="U256" s="3"/>
      <c r="V256" s="3"/>
      <c r="W256" s="3">
        <v>3</v>
      </c>
      <c r="X256" s="3"/>
      <c r="Z256" s="3"/>
      <c r="AA256" s="3"/>
      <c r="AB256" s="3">
        <v>7</v>
      </c>
      <c r="AC256" s="3">
        <v>5</v>
      </c>
      <c r="AD256" s="3"/>
      <c r="AE256" s="3"/>
      <c r="AF256" s="3"/>
      <c r="AG256" s="3"/>
      <c r="AH256" s="3"/>
      <c r="AI256" s="3"/>
      <c r="AJ256" s="3">
        <v>5</v>
      </c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>
        <v>3</v>
      </c>
      <c r="AY256" s="3"/>
      <c r="AZ256" s="3">
        <v>3</v>
      </c>
      <c r="BA256" s="3">
        <v>1</v>
      </c>
      <c r="BB256" s="3">
        <v>9</v>
      </c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>
        <v>9</v>
      </c>
      <c r="BN256" s="3"/>
      <c r="BO256" s="3"/>
      <c r="BP256" s="3"/>
      <c r="BQ256" s="3">
        <v>8</v>
      </c>
      <c r="BR256" s="3">
        <v>7</v>
      </c>
      <c r="BS256" s="3"/>
      <c r="BT256" s="19">
        <v>7</v>
      </c>
      <c r="BU256" s="3">
        <v>9</v>
      </c>
      <c r="BV256" s="19">
        <v>7</v>
      </c>
      <c r="BW256" s="19">
        <v>9</v>
      </c>
      <c r="BX256" s="3"/>
      <c r="BY256" s="3"/>
      <c r="BZ256" s="19">
        <v>9</v>
      </c>
      <c r="CA256" s="19">
        <v>8</v>
      </c>
      <c r="CB256" s="19">
        <v>7</v>
      </c>
      <c r="CC256" s="19">
        <v>7</v>
      </c>
      <c r="CD256" s="3">
        <v>9</v>
      </c>
      <c r="CE256" s="19">
        <v>2</v>
      </c>
      <c r="CF256" s="19">
        <v>9</v>
      </c>
      <c r="CG256" s="3"/>
      <c r="CH256" s="3">
        <v>7</v>
      </c>
      <c r="CI256" s="3">
        <v>6</v>
      </c>
      <c r="CJ256" s="19">
        <v>9</v>
      </c>
      <c r="CK256" s="19">
        <v>9</v>
      </c>
      <c r="CL256" s="19">
        <v>9</v>
      </c>
      <c r="CM256" s="19">
        <v>6</v>
      </c>
      <c r="CN256" s="3" t="s">
        <v>1185</v>
      </c>
      <c r="CO256" s="3" t="s">
        <v>1185</v>
      </c>
      <c r="CP256" s="3" t="s">
        <v>1185</v>
      </c>
      <c r="CQ256" s="3" t="s">
        <v>1185</v>
      </c>
      <c r="CR256" s="3" t="s">
        <v>1185</v>
      </c>
      <c r="CS256" s="3" t="s">
        <v>1185</v>
      </c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19">
        <v>9</v>
      </c>
      <c r="DR256" s="3"/>
      <c r="DU256" s="3"/>
      <c r="DV256" s="3"/>
      <c r="DW256" s="3"/>
    </row>
    <row r="257" spans="1:142" ht="15" customHeight="1" x14ac:dyDescent="0.25">
      <c r="A257" s="6" t="s">
        <v>396</v>
      </c>
      <c r="B257" s="2" t="s">
        <v>784</v>
      </c>
      <c r="C257" s="2" t="s">
        <v>1461</v>
      </c>
      <c r="D257" s="25" t="s">
        <v>1183</v>
      </c>
      <c r="E257" s="4" t="s">
        <v>1190</v>
      </c>
      <c r="F257" s="4" t="s">
        <v>813</v>
      </c>
      <c r="G257" s="26">
        <v>1992</v>
      </c>
      <c r="H257" s="5"/>
      <c r="I257" s="5"/>
      <c r="J257" s="5"/>
      <c r="M257" s="5"/>
      <c r="N257" s="2" t="s">
        <v>1462</v>
      </c>
      <c r="O257" s="28" t="s">
        <v>2601</v>
      </c>
      <c r="P257" s="3"/>
      <c r="Q257" s="27">
        <v>2</v>
      </c>
      <c r="R257" s="3"/>
      <c r="S257" s="3"/>
      <c r="T257" s="3"/>
      <c r="U257" s="3"/>
      <c r="V257" s="3"/>
      <c r="W257" s="3">
        <v>3</v>
      </c>
      <c r="X257" s="3"/>
      <c r="Z257" s="3"/>
      <c r="AA257" s="3"/>
      <c r="AB257" s="3">
        <v>7</v>
      </c>
      <c r="AC257" s="3">
        <v>6</v>
      </c>
      <c r="AD257" s="3"/>
      <c r="AE257" s="3"/>
      <c r="AF257" s="3"/>
      <c r="AG257" s="3"/>
      <c r="AH257" s="3"/>
      <c r="AI257" s="3"/>
      <c r="AJ257" s="3">
        <v>4</v>
      </c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>
        <v>7</v>
      </c>
      <c r="AY257" s="3"/>
      <c r="AZ257" s="3">
        <v>3</v>
      </c>
      <c r="BA257" s="3">
        <v>1</v>
      </c>
      <c r="BB257" s="3">
        <v>9</v>
      </c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>
        <v>9</v>
      </c>
      <c r="BN257" s="3"/>
      <c r="BO257" s="3"/>
      <c r="BP257" s="3"/>
      <c r="BQ257" s="3">
        <v>8</v>
      </c>
      <c r="BR257" s="3">
        <v>9</v>
      </c>
      <c r="BS257" s="3"/>
      <c r="BT257" s="19">
        <v>9</v>
      </c>
      <c r="BU257" s="3">
        <v>9</v>
      </c>
      <c r="BV257" s="19">
        <v>5</v>
      </c>
      <c r="BW257" s="19">
        <v>9</v>
      </c>
      <c r="BX257" s="19">
        <v>7</v>
      </c>
      <c r="BY257" s="3"/>
      <c r="BZ257" s="19">
        <v>9</v>
      </c>
      <c r="CA257" s="19">
        <v>7</v>
      </c>
      <c r="CB257" s="19">
        <v>8</v>
      </c>
      <c r="CC257" s="19">
        <v>9</v>
      </c>
      <c r="CD257" s="3">
        <v>9</v>
      </c>
      <c r="CE257" s="3"/>
      <c r="CF257" s="19">
        <v>9</v>
      </c>
      <c r="CG257" s="3"/>
      <c r="CH257" s="3">
        <v>8</v>
      </c>
      <c r="CI257" s="3">
        <v>9</v>
      </c>
      <c r="CJ257" s="19">
        <v>9</v>
      </c>
      <c r="CK257" s="19">
        <v>9</v>
      </c>
      <c r="CL257" s="19">
        <v>9</v>
      </c>
      <c r="CM257" s="19">
        <v>9</v>
      </c>
      <c r="CN257" s="3" t="s">
        <v>1185</v>
      </c>
      <c r="CO257" s="3" t="s">
        <v>1185</v>
      </c>
      <c r="CP257" s="3" t="s">
        <v>1185</v>
      </c>
      <c r="CQ257" s="3" t="s">
        <v>1185</v>
      </c>
      <c r="CR257" s="3" t="s">
        <v>1185</v>
      </c>
      <c r="CS257" s="3" t="s">
        <v>1185</v>
      </c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R257" s="3">
        <v>9</v>
      </c>
    </row>
    <row r="258" spans="1:142" ht="15" customHeight="1" x14ac:dyDescent="0.25">
      <c r="A258" s="6" t="s">
        <v>397</v>
      </c>
      <c r="B258" s="2" t="s">
        <v>784</v>
      </c>
      <c r="C258" s="2" t="s">
        <v>1463</v>
      </c>
      <c r="D258" s="25" t="s">
        <v>1183</v>
      </c>
      <c r="E258" s="4" t="s">
        <v>1190</v>
      </c>
      <c r="F258" s="4" t="s">
        <v>1160</v>
      </c>
      <c r="G258" s="26">
        <v>1991</v>
      </c>
      <c r="H258" s="5"/>
      <c r="I258" s="5"/>
      <c r="J258" s="5"/>
      <c r="M258" s="5"/>
      <c r="N258" s="2" t="s">
        <v>1464</v>
      </c>
      <c r="O258" s="28" t="s">
        <v>2602</v>
      </c>
      <c r="P258" s="3"/>
      <c r="Q258" s="27">
        <v>2</v>
      </c>
      <c r="R258" s="3"/>
      <c r="S258" s="3"/>
      <c r="T258" s="3"/>
      <c r="U258" s="3"/>
      <c r="V258" s="3"/>
      <c r="W258" s="3">
        <v>4</v>
      </c>
      <c r="X258" s="3"/>
      <c r="Z258" s="3"/>
      <c r="AA258" s="3"/>
      <c r="AB258" s="3">
        <v>1</v>
      </c>
      <c r="AC258" s="3">
        <v>7</v>
      </c>
      <c r="AD258" s="3"/>
      <c r="AE258" s="3"/>
      <c r="AF258" s="3"/>
      <c r="AG258" s="3"/>
      <c r="AH258" s="3"/>
      <c r="AI258" s="3"/>
      <c r="AJ258" s="3">
        <v>6</v>
      </c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>
        <v>3</v>
      </c>
      <c r="AY258" s="3"/>
      <c r="AZ258" s="3">
        <v>4</v>
      </c>
      <c r="BA258" s="3">
        <v>1</v>
      </c>
      <c r="BB258" s="3">
        <v>9</v>
      </c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>
        <v>9</v>
      </c>
      <c r="BN258" s="3"/>
      <c r="BO258" s="3"/>
      <c r="BP258" s="3"/>
      <c r="BQ258" s="3">
        <v>1</v>
      </c>
      <c r="BR258" s="3">
        <v>1</v>
      </c>
      <c r="BS258" s="3"/>
      <c r="BT258" s="19">
        <v>2</v>
      </c>
      <c r="BU258" s="3">
        <v>1</v>
      </c>
      <c r="BV258" s="19">
        <v>9</v>
      </c>
      <c r="BW258" s="19">
        <v>3</v>
      </c>
      <c r="BX258" s="19">
        <v>1</v>
      </c>
      <c r="BY258" s="3"/>
      <c r="BZ258" s="19">
        <v>9</v>
      </c>
      <c r="CA258" s="19">
        <v>9</v>
      </c>
      <c r="CB258" s="3"/>
      <c r="CC258" s="19">
        <v>8</v>
      </c>
      <c r="CD258" s="3">
        <v>9</v>
      </c>
      <c r="CE258" s="19">
        <v>3</v>
      </c>
      <c r="CF258" s="19">
        <v>9</v>
      </c>
      <c r="CG258" s="3"/>
      <c r="CH258" s="3">
        <v>9</v>
      </c>
      <c r="CI258" s="3">
        <v>8</v>
      </c>
      <c r="CJ258" s="19">
        <v>9</v>
      </c>
      <c r="CK258" s="19">
        <v>9</v>
      </c>
      <c r="CL258" s="19">
        <v>9</v>
      </c>
      <c r="CM258" s="3" t="s">
        <v>1185</v>
      </c>
      <c r="CN258" s="3" t="s">
        <v>1185</v>
      </c>
      <c r="CO258" s="3" t="s">
        <v>1185</v>
      </c>
      <c r="CP258" s="3" t="s">
        <v>1185</v>
      </c>
      <c r="CQ258" s="3" t="s">
        <v>1185</v>
      </c>
      <c r="CR258" s="3" t="s">
        <v>1185</v>
      </c>
      <c r="CS258" s="3" t="s">
        <v>1185</v>
      </c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R258" s="3">
        <v>9</v>
      </c>
    </row>
    <row r="259" spans="1:142" ht="15" customHeight="1" x14ac:dyDescent="0.25">
      <c r="A259" s="6" t="s">
        <v>398</v>
      </c>
      <c r="B259" s="2" t="s">
        <v>784</v>
      </c>
      <c r="C259" s="2" t="s">
        <v>1465</v>
      </c>
      <c r="D259" s="25" t="s">
        <v>1183</v>
      </c>
      <c r="E259" s="4" t="s">
        <v>1190</v>
      </c>
      <c r="F259" s="4" t="s">
        <v>1225</v>
      </c>
      <c r="G259" s="26">
        <v>1993</v>
      </c>
      <c r="H259" s="5"/>
      <c r="I259" s="5"/>
      <c r="J259" s="5"/>
      <c r="M259" s="5"/>
      <c r="N259" s="2" t="s">
        <v>1466</v>
      </c>
      <c r="O259" s="28" t="s">
        <v>2603</v>
      </c>
      <c r="P259" s="3"/>
      <c r="Q259" s="27">
        <v>2</v>
      </c>
      <c r="R259" s="3"/>
      <c r="S259" s="3"/>
      <c r="T259" s="3"/>
      <c r="U259" s="3"/>
      <c r="V259" s="3"/>
      <c r="W259" s="3">
        <v>4</v>
      </c>
      <c r="X259" s="3"/>
      <c r="Z259" s="3"/>
      <c r="AA259" s="3"/>
      <c r="AB259" s="3">
        <v>8</v>
      </c>
      <c r="AC259" s="3">
        <v>7</v>
      </c>
      <c r="AD259" s="3"/>
      <c r="AE259" s="3"/>
      <c r="AF259" s="3"/>
      <c r="AG259" s="3"/>
      <c r="AH259" s="3"/>
      <c r="AI259" s="3"/>
      <c r="AJ259" s="3">
        <v>5</v>
      </c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>
        <v>4</v>
      </c>
      <c r="AY259" s="3"/>
      <c r="AZ259" s="3">
        <v>3</v>
      </c>
      <c r="BA259" s="3">
        <v>1</v>
      </c>
      <c r="BB259" s="3">
        <v>9</v>
      </c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>
        <v>9</v>
      </c>
      <c r="BN259" s="3"/>
      <c r="BO259" s="3"/>
      <c r="BP259" s="3"/>
      <c r="BQ259" s="3">
        <v>8</v>
      </c>
      <c r="BR259" s="3">
        <v>5</v>
      </c>
      <c r="BS259" s="3"/>
      <c r="BT259" s="19">
        <v>9</v>
      </c>
      <c r="BU259" s="3">
        <v>9</v>
      </c>
      <c r="BV259" s="19">
        <v>6</v>
      </c>
      <c r="BW259" s="19">
        <v>9</v>
      </c>
      <c r="BX259" s="19">
        <v>9</v>
      </c>
      <c r="BY259" s="3"/>
      <c r="BZ259" s="19">
        <v>5</v>
      </c>
      <c r="CA259" s="19">
        <v>7</v>
      </c>
      <c r="CB259" s="3"/>
      <c r="CC259" s="19">
        <v>8</v>
      </c>
      <c r="CD259" s="3">
        <v>7</v>
      </c>
      <c r="CE259" s="3"/>
      <c r="CF259" s="19">
        <v>9</v>
      </c>
      <c r="CG259" s="3"/>
      <c r="CH259" s="3">
        <v>8</v>
      </c>
      <c r="CI259" s="3">
        <v>9</v>
      </c>
      <c r="CJ259" s="19">
        <v>9</v>
      </c>
      <c r="CK259" s="19">
        <v>8</v>
      </c>
      <c r="CL259" s="19">
        <v>9</v>
      </c>
      <c r="CM259" s="19">
        <v>4</v>
      </c>
      <c r="CN259" s="3"/>
      <c r="CO259" s="3" t="s">
        <v>1185</v>
      </c>
      <c r="CP259" s="3" t="s">
        <v>1185</v>
      </c>
      <c r="CQ259" s="3" t="s">
        <v>1185</v>
      </c>
      <c r="CR259" s="3" t="s">
        <v>1185</v>
      </c>
      <c r="CS259" s="3" t="s">
        <v>1185</v>
      </c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R259" s="3">
        <v>9</v>
      </c>
      <c r="DU259" s="3"/>
      <c r="DV259" s="3"/>
      <c r="DW259" s="3"/>
      <c r="DX259" s="3"/>
      <c r="EE259" s="3"/>
      <c r="EF259" s="3"/>
      <c r="EG259" s="3"/>
      <c r="EH259" s="3"/>
      <c r="EI259" s="3"/>
      <c r="EJ259" s="3"/>
      <c r="EK259" s="3"/>
      <c r="EL259" s="3"/>
    </row>
    <row r="260" spans="1:142" ht="15" customHeight="1" x14ac:dyDescent="0.25">
      <c r="A260" s="6" t="s">
        <v>399</v>
      </c>
      <c r="B260" s="2" t="s">
        <v>784</v>
      </c>
      <c r="C260" s="2" t="s">
        <v>1467</v>
      </c>
      <c r="D260" s="25" t="s">
        <v>1183</v>
      </c>
      <c r="E260" s="4" t="s">
        <v>1190</v>
      </c>
      <c r="F260" s="4" t="s">
        <v>809</v>
      </c>
      <c r="G260" s="26">
        <v>1993</v>
      </c>
      <c r="H260" s="5"/>
      <c r="I260" s="5"/>
      <c r="J260" s="5"/>
      <c r="M260" s="5"/>
      <c r="N260" s="2" t="s">
        <v>1468</v>
      </c>
      <c r="O260" s="28" t="s">
        <v>2604</v>
      </c>
      <c r="P260" s="3"/>
      <c r="Q260" s="27">
        <v>2</v>
      </c>
      <c r="R260" s="3"/>
      <c r="S260" s="3"/>
      <c r="T260" s="3"/>
      <c r="U260" s="3"/>
      <c r="V260" s="3"/>
      <c r="W260" s="3">
        <v>4</v>
      </c>
      <c r="X260" s="3"/>
      <c r="Z260" s="3"/>
      <c r="AA260" s="3"/>
      <c r="AB260" s="3">
        <v>8</v>
      </c>
      <c r="AC260" s="3">
        <v>7</v>
      </c>
      <c r="AD260" s="3"/>
      <c r="AE260" s="3"/>
      <c r="AF260" s="3"/>
      <c r="AG260" s="3"/>
      <c r="AH260" s="3"/>
      <c r="AI260" s="3"/>
      <c r="AJ260" s="3">
        <v>7</v>
      </c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>
        <v>7</v>
      </c>
      <c r="AY260" s="3"/>
      <c r="AZ260" s="3">
        <v>4</v>
      </c>
      <c r="BA260" s="3">
        <v>1</v>
      </c>
      <c r="BB260" s="3">
        <v>9</v>
      </c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>
        <v>9</v>
      </c>
      <c r="BN260" s="3"/>
      <c r="BO260" s="3"/>
      <c r="BP260" s="3"/>
      <c r="BQ260" s="3">
        <v>8</v>
      </c>
      <c r="BR260" s="3">
        <v>7</v>
      </c>
      <c r="BS260" s="3"/>
      <c r="BT260" s="19">
        <v>9</v>
      </c>
      <c r="BU260" s="3">
        <v>9</v>
      </c>
      <c r="BV260" s="19">
        <v>5</v>
      </c>
      <c r="BW260" s="19">
        <v>9</v>
      </c>
      <c r="BX260" s="3"/>
      <c r="BY260" s="3"/>
      <c r="BZ260" s="19">
        <v>5</v>
      </c>
      <c r="CA260" s="19">
        <v>9</v>
      </c>
      <c r="CB260" s="19">
        <v>8</v>
      </c>
      <c r="CC260" s="19">
        <v>6</v>
      </c>
      <c r="CD260" s="3">
        <v>7</v>
      </c>
      <c r="CE260" s="3"/>
      <c r="CF260" s="19">
        <v>5</v>
      </c>
      <c r="CG260" s="3"/>
      <c r="CH260" s="3">
        <v>6</v>
      </c>
      <c r="CI260" s="3">
        <v>4</v>
      </c>
      <c r="CJ260" s="19">
        <v>7</v>
      </c>
      <c r="CK260" s="19">
        <v>8</v>
      </c>
      <c r="CL260" s="19">
        <v>3</v>
      </c>
      <c r="CM260" s="19">
        <v>3</v>
      </c>
      <c r="CN260" s="3"/>
      <c r="CO260" s="3" t="s">
        <v>1185</v>
      </c>
      <c r="CP260" s="3" t="s">
        <v>1185</v>
      </c>
      <c r="CQ260" s="3" t="s">
        <v>1185</v>
      </c>
      <c r="CS260" s="3" t="s">
        <v>1185</v>
      </c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19">
        <v>9</v>
      </c>
      <c r="DR260" s="3"/>
      <c r="DX260" s="3"/>
      <c r="EE260" s="3"/>
      <c r="EF260" s="3"/>
      <c r="EG260" s="3"/>
      <c r="EH260" s="3"/>
      <c r="EI260" s="3"/>
      <c r="EJ260" s="3"/>
      <c r="EK260" s="3"/>
      <c r="EL260" s="3"/>
    </row>
    <row r="261" spans="1:142" ht="15" customHeight="1" x14ac:dyDescent="0.25">
      <c r="A261" s="6" t="s">
        <v>400</v>
      </c>
      <c r="B261" s="2" t="s">
        <v>784</v>
      </c>
      <c r="C261" s="2" t="s">
        <v>1469</v>
      </c>
      <c r="D261" s="25" t="s">
        <v>1183</v>
      </c>
      <c r="E261" s="4" t="s">
        <v>1190</v>
      </c>
      <c r="F261" s="4" t="s">
        <v>788</v>
      </c>
      <c r="G261" s="26">
        <v>1994</v>
      </c>
      <c r="H261" s="5"/>
      <c r="I261" s="5"/>
      <c r="J261" s="5"/>
      <c r="M261" s="5"/>
      <c r="N261" s="2" t="s">
        <v>1470</v>
      </c>
      <c r="O261" s="28" t="s">
        <v>2605</v>
      </c>
      <c r="P261" s="3"/>
      <c r="Q261" s="27">
        <v>2</v>
      </c>
      <c r="R261" s="3"/>
      <c r="S261" s="3"/>
      <c r="T261" s="3"/>
      <c r="U261" s="3"/>
      <c r="V261" s="3"/>
      <c r="W261" s="3">
        <v>4</v>
      </c>
      <c r="X261" s="3"/>
      <c r="Z261" s="3"/>
      <c r="AA261" s="3"/>
      <c r="AB261" s="3">
        <v>1</v>
      </c>
      <c r="AC261" s="3">
        <v>6</v>
      </c>
      <c r="AD261" s="3"/>
      <c r="AE261" s="3"/>
      <c r="AF261" s="3"/>
      <c r="AG261" s="3"/>
      <c r="AH261" s="3"/>
      <c r="AI261" s="3"/>
      <c r="AJ261" s="3">
        <v>4</v>
      </c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>
        <v>3</v>
      </c>
      <c r="AY261" s="3"/>
      <c r="AZ261" s="3">
        <v>3</v>
      </c>
      <c r="BA261" s="3">
        <v>1</v>
      </c>
      <c r="BB261" s="3">
        <v>9</v>
      </c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>
        <v>9</v>
      </c>
      <c r="BN261" s="3"/>
      <c r="BO261" s="3"/>
      <c r="BP261" s="3"/>
      <c r="BQ261" s="3"/>
      <c r="BR261" s="3">
        <v>1</v>
      </c>
      <c r="BS261" s="3"/>
      <c r="BT261" s="19">
        <v>2</v>
      </c>
      <c r="BU261" s="3">
        <v>1</v>
      </c>
      <c r="BV261" s="19">
        <v>1</v>
      </c>
      <c r="BW261" s="19">
        <v>1</v>
      </c>
      <c r="BX261" s="19">
        <v>1</v>
      </c>
      <c r="BY261" s="3"/>
      <c r="BZ261" s="19">
        <v>9</v>
      </c>
      <c r="CA261" s="19">
        <v>2</v>
      </c>
      <c r="CB261" s="19">
        <v>1</v>
      </c>
      <c r="CC261" s="19">
        <v>1</v>
      </c>
      <c r="CD261" s="3">
        <v>9</v>
      </c>
      <c r="CE261" s="19">
        <v>1</v>
      </c>
      <c r="CF261" s="19">
        <v>9</v>
      </c>
      <c r="CG261" s="3"/>
      <c r="CH261" s="3">
        <v>6</v>
      </c>
      <c r="CI261" s="3">
        <v>7</v>
      </c>
      <c r="CJ261" s="19">
        <v>1</v>
      </c>
      <c r="CK261" s="19">
        <v>8</v>
      </c>
      <c r="CL261" s="3"/>
      <c r="CM261" s="19">
        <v>9</v>
      </c>
      <c r="CN261" s="3" t="s">
        <v>1185</v>
      </c>
      <c r="CO261" s="3" t="s">
        <v>1185</v>
      </c>
      <c r="CP261" s="3" t="s">
        <v>1185</v>
      </c>
      <c r="CQ261" s="3" t="s">
        <v>1185</v>
      </c>
      <c r="CR261" s="3" t="s">
        <v>1185</v>
      </c>
      <c r="CS261" s="3" t="s">
        <v>1185</v>
      </c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R261" s="3">
        <v>9</v>
      </c>
      <c r="DU261" s="3"/>
      <c r="DV261" s="3"/>
      <c r="DW261" s="3"/>
      <c r="EB261" s="3"/>
      <c r="EC261" s="3"/>
      <c r="ED261" s="3"/>
    </row>
    <row r="262" spans="1:142" s="3" customFormat="1" ht="15" customHeight="1" x14ac:dyDescent="0.25">
      <c r="A262" s="6" t="s">
        <v>401</v>
      </c>
      <c r="B262" s="2" t="s">
        <v>784</v>
      </c>
      <c r="C262" s="2" t="s">
        <v>1471</v>
      </c>
      <c r="D262" s="25" t="s">
        <v>1183</v>
      </c>
      <c r="E262" s="4" t="s">
        <v>1190</v>
      </c>
      <c r="F262" s="4" t="s">
        <v>813</v>
      </c>
      <c r="G262" s="26">
        <v>1994</v>
      </c>
      <c r="H262" s="5"/>
      <c r="I262" s="5"/>
      <c r="J262" s="5"/>
      <c r="K262" s="1"/>
      <c r="L262" s="2"/>
      <c r="M262" s="5"/>
      <c r="N262" s="2" t="s">
        <v>1472</v>
      </c>
      <c r="O262" s="28" t="s">
        <v>2606</v>
      </c>
      <c r="Q262" s="27">
        <v>2</v>
      </c>
      <c r="W262" s="3">
        <v>4</v>
      </c>
      <c r="AB262" s="3">
        <v>7</v>
      </c>
      <c r="AC262" s="3">
        <v>5</v>
      </c>
      <c r="AJ262" s="3">
        <v>6</v>
      </c>
      <c r="AX262" s="3">
        <v>3</v>
      </c>
      <c r="AZ262" s="3">
        <v>4</v>
      </c>
      <c r="BA262" s="3">
        <v>1</v>
      </c>
      <c r="BB262" s="3">
        <v>9</v>
      </c>
      <c r="BM262" s="3">
        <v>9</v>
      </c>
      <c r="BQ262" s="3">
        <v>9</v>
      </c>
      <c r="BR262" s="3">
        <v>9</v>
      </c>
      <c r="BS262" s="3">
        <v>5</v>
      </c>
      <c r="BT262" s="19">
        <v>9</v>
      </c>
      <c r="BU262" s="3">
        <v>3</v>
      </c>
      <c r="BV262" s="19">
        <v>9</v>
      </c>
      <c r="BW262" s="19">
        <v>9</v>
      </c>
      <c r="BX262" s="19">
        <v>8</v>
      </c>
      <c r="BZ262" s="19">
        <v>9</v>
      </c>
      <c r="CA262" s="19">
        <v>8</v>
      </c>
      <c r="CB262" s="19">
        <v>9</v>
      </c>
      <c r="CC262" s="19">
        <v>8</v>
      </c>
      <c r="CD262" s="3">
        <v>9</v>
      </c>
      <c r="CE262" s="19">
        <v>9</v>
      </c>
      <c r="CF262" s="3">
        <v>4</v>
      </c>
      <c r="CH262" s="3">
        <v>9</v>
      </c>
      <c r="CI262" s="3">
        <v>9</v>
      </c>
      <c r="CJ262" s="3">
        <v>8</v>
      </c>
      <c r="CK262" s="3">
        <v>9</v>
      </c>
      <c r="CL262" s="3">
        <v>4</v>
      </c>
      <c r="CM262" s="3" t="s">
        <v>1185</v>
      </c>
      <c r="CN262" s="3" t="s">
        <v>1185</v>
      </c>
      <c r="CO262" s="3" t="s">
        <v>1185</v>
      </c>
      <c r="CP262" s="3" t="s">
        <v>1185</v>
      </c>
      <c r="CQ262" s="3" t="s">
        <v>1185</v>
      </c>
      <c r="CR262" s="3" t="s">
        <v>1185</v>
      </c>
      <c r="CS262" s="3" t="s">
        <v>1185</v>
      </c>
      <c r="CT262" s="3">
        <v>8</v>
      </c>
      <c r="CU262" s="3">
        <v>7</v>
      </c>
      <c r="CV262" s="3">
        <v>7</v>
      </c>
      <c r="CW262" s="3">
        <v>9</v>
      </c>
      <c r="CX262" s="3">
        <v>9</v>
      </c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</row>
    <row r="263" spans="1:142" s="3" customFormat="1" ht="15" customHeight="1" x14ac:dyDescent="0.25">
      <c r="A263" s="6" t="s">
        <v>402</v>
      </c>
      <c r="B263" s="2" t="s">
        <v>784</v>
      </c>
      <c r="C263" s="2" t="s">
        <v>1473</v>
      </c>
      <c r="D263" s="25" t="s">
        <v>1183</v>
      </c>
      <c r="E263" s="4" t="s">
        <v>1190</v>
      </c>
      <c r="F263" s="4" t="s">
        <v>813</v>
      </c>
      <c r="G263" s="26">
        <v>1994</v>
      </c>
      <c r="H263" s="5"/>
      <c r="I263" s="5"/>
      <c r="J263" s="5"/>
      <c r="K263" s="1"/>
      <c r="L263" s="2"/>
      <c r="M263" s="5"/>
      <c r="N263" s="2" t="s">
        <v>1474</v>
      </c>
      <c r="O263" s="28" t="s">
        <v>2607</v>
      </c>
      <c r="Q263" s="27">
        <v>2</v>
      </c>
      <c r="W263" s="3">
        <v>4</v>
      </c>
      <c r="AB263" s="3">
        <v>8</v>
      </c>
      <c r="AC263" s="3">
        <v>6</v>
      </c>
      <c r="AJ263" s="3">
        <v>6</v>
      </c>
      <c r="AX263" s="3">
        <v>2</v>
      </c>
      <c r="AZ263" s="3">
        <v>3</v>
      </c>
      <c r="BA263" s="3">
        <v>1</v>
      </c>
      <c r="BB263" s="3">
        <v>9</v>
      </c>
      <c r="BM263" s="3">
        <v>9</v>
      </c>
      <c r="BQ263" s="3">
        <v>7</v>
      </c>
      <c r="BR263" s="3">
        <v>8</v>
      </c>
      <c r="BS263" s="3">
        <v>9</v>
      </c>
      <c r="BT263" s="19">
        <v>9</v>
      </c>
      <c r="BV263" s="19">
        <v>9</v>
      </c>
      <c r="BW263" s="19">
        <v>9</v>
      </c>
      <c r="BX263" s="19">
        <v>8</v>
      </c>
      <c r="BY263" s="19">
        <v>9</v>
      </c>
      <c r="BZ263" s="19">
        <v>7</v>
      </c>
      <c r="CA263" s="19">
        <v>6</v>
      </c>
      <c r="CB263" s="19">
        <v>8</v>
      </c>
      <c r="CC263" s="19">
        <v>7</v>
      </c>
      <c r="CD263" s="3">
        <v>9</v>
      </c>
      <c r="CE263" s="19">
        <v>9</v>
      </c>
      <c r="CF263" s="3">
        <v>7</v>
      </c>
      <c r="CG263" s="19">
        <v>5</v>
      </c>
      <c r="CH263" s="3">
        <v>9</v>
      </c>
      <c r="CI263" s="3">
        <v>9</v>
      </c>
      <c r="CJ263" s="3">
        <v>6</v>
      </c>
      <c r="CK263" s="3">
        <v>9</v>
      </c>
      <c r="CL263" s="3">
        <v>7</v>
      </c>
      <c r="CM263" s="3" t="s">
        <v>1185</v>
      </c>
      <c r="CN263" s="3" t="s">
        <v>1185</v>
      </c>
      <c r="CO263" s="3" t="s">
        <v>1185</v>
      </c>
      <c r="CP263" s="3" t="s">
        <v>1185</v>
      </c>
      <c r="CQ263" s="3" t="s">
        <v>1185</v>
      </c>
      <c r="CR263" s="3" t="s">
        <v>1185</v>
      </c>
      <c r="CS263" s="3" t="s">
        <v>1185</v>
      </c>
      <c r="CT263" s="3">
        <v>9</v>
      </c>
      <c r="CU263" s="3">
        <v>8</v>
      </c>
      <c r="CV263" s="3">
        <v>9</v>
      </c>
      <c r="CW263" s="3">
        <v>7</v>
      </c>
      <c r="CX263" s="3">
        <v>7</v>
      </c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</row>
    <row r="264" spans="1:142" s="3" customFormat="1" ht="15" customHeight="1" x14ac:dyDescent="0.25">
      <c r="A264" s="6" t="s">
        <v>403</v>
      </c>
      <c r="B264" s="2" t="s">
        <v>784</v>
      </c>
      <c r="C264" s="2" t="s">
        <v>1475</v>
      </c>
      <c r="D264" s="25" t="s">
        <v>1183</v>
      </c>
      <c r="E264" s="4" t="s">
        <v>1190</v>
      </c>
      <c r="F264" s="4" t="s">
        <v>813</v>
      </c>
      <c r="G264" s="26">
        <v>1994</v>
      </c>
      <c r="H264" s="5"/>
      <c r="I264" s="5"/>
      <c r="J264" s="5"/>
      <c r="K264" s="1"/>
      <c r="L264" s="2"/>
      <c r="M264" s="5"/>
      <c r="N264" s="2" t="s">
        <v>1476</v>
      </c>
      <c r="O264" s="28" t="s">
        <v>2608</v>
      </c>
      <c r="Q264" s="27">
        <v>2</v>
      </c>
      <c r="W264" s="3">
        <v>3</v>
      </c>
      <c r="AB264" s="3">
        <v>2</v>
      </c>
      <c r="AC264" s="3">
        <v>6</v>
      </c>
      <c r="AJ264" s="3">
        <v>6</v>
      </c>
      <c r="AX264" s="3">
        <v>2</v>
      </c>
      <c r="AZ264" s="3">
        <v>2</v>
      </c>
      <c r="BA264" s="3">
        <v>1</v>
      </c>
      <c r="BB264" s="3">
        <v>9</v>
      </c>
      <c r="BM264" s="3">
        <v>9</v>
      </c>
      <c r="BQ264" s="3">
        <v>7</v>
      </c>
      <c r="BR264" s="3">
        <v>5</v>
      </c>
      <c r="BS264" s="3">
        <v>9</v>
      </c>
      <c r="BT264" s="19">
        <v>9</v>
      </c>
      <c r="BV264" s="19">
        <v>9</v>
      </c>
      <c r="BW264" s="19">
        <v>7</v>
      </c>
      <c r="BX264" s="19">
        <v>9</v>
      </c>
      <c r="BY264" s="19">
        <v>9</v>
      </c>
      <c r="BZ264" s="19">
        <v>7</v>
      </c>
      <c r="CA264" s="19">
        <v>8</v>
      </c>
      <c r="CB264" s="19">
        <v>8</v>
      </c>
      <c r="CC264" s="19">
        <v>8</v>
      </c>
      <c r="CD264" s="3">
        <v>9</v>
      </c>
      <c r="CE264" s="19">
        <v>9</v>
      </c>
      <c r="CF264" s="3">
        <v>8</v>
      </c>
      <c r="CG264" s="19">
        <v>7</v>
      </c>
      <c r="CH264" s="3">
        <v>7</v>
      </c>
      <c r="CI264" s="3">
        <v>9</v>
      </c>
      <c r="CJ264" s="3">
        <v>7</v>
      </c>
      <c r="CK264" s="3">
        <v>9</v>
      </c>
      <c r="CL264" s="3">
        <v>8</v>
      </c>
      <c r="CM264" s="3" t="s">
        <v>1185</v>
      </c>
      <c r="CN264" s="3" t="s">
        <v>1185</v>
      </c>
      <c r="CO264" s="3" t="s">
        <v>1185</v>
      </c>
      <c r="CP264" s="3" t="s">
        <v>1185</v>
      </c>
      <c r="CQ264" s="3" t="s">
        <v>1185</v>
      </c>
      <c r="CR264" s="3" t="s">
        <v>1185</v>
      </c>
      <c r="CS264" s="3" t="s">
        <v>1185</v>
      </c>
      <c r="CT264" s="3">
        <v>9</v>
      </c>
      <c r="CU264" s="3">
        <v>7</v>
      </c>
      <c r="CV264" s="3">
        <v>8</v>
      </c>
      <c r="CW264" s="3">
        <v>8</v>
      </c>
      <c r="CX264" s="3">
        <v>9</v>
      </c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</row>
    <row r="265" spans="1:142" s="3" customFormat="1" ht="15" customHeight="1" x14ac:dyDescent="0.25">
      <c r="A265" s="6" t="s">
        <v>404</v>
      </c>
      <c r="B265" s="2" t="s">
        <v>784</v>
      </c>
      <c r="C265" s="2" t="s">
        <v>1477</v>
      </c>
      <c r="D265" s="25" t="s">
        <v>1183</v>
      </c>
      <c r="E265" s="4" t="s">
        <v>1190</v>
      </c>
      <c r="F265" s="4" t="s">
        <v>813</v>
      </c>
      <c r="G265" s="26">
        <v>1994</v>
      </c>
      <c r="H265" s="5"/>
      <c r="I265" s="5"/>
      <c r="J265" s="5"/>
      <c r="K265" s="1"/>
      <c r="L265" s="2"/>
      <c r="M265" s="5"/>
      <c r="N265" s="2" t="s">
        <v>1478</v>
      </c>
      <c r="O265" s="28" t="s">
        <v>2609</v>
      </c>
      <c r="Q265" s="27">
        <v>2</v>
      </c>
      <c r="W265" s="3">
        <v>4</v>
      </c>
      <c r="AB265" s="3">
        <v>7</v>
      </c>
      <c r="AC265" s="3">
        <v>5</v>
      </c>
      <c r="AJ265" s="3">
        <v>7</v>
      </c>
      <c r="AX265" s="3">
        <v>4</v>
      </c>
      <c r="AZ265" s="3">
        <v>5</v>
      </c>
      <c r="BA265" s="3">
        <v>1</v>
      </c>
      <c r="BB265" s="3">
        <v>9</v>
      </c>
      <c r="BM265" s="3">
        <v>9</v>
      </c>
      <c r="BQ265" s="3">
        <v>9</v>
      </c>
      <c r="BR265" s="3">
        <v>9</v>
      </c>
      <c r="BS265" s="3">
        <v>9</v>
      </c>
      <c r="BT265" s="19">
        <v>9</v>
      </c>
      <c r="BU265" s="3">
        <v>3</v>
      </c>
      <c r="BV265" s="19">
        <v>7</v>
      </c>
      <c r="BW265" s="19">
        <v>9</v>
      </c>
      <c r="BX265" s="19">
        <v>9</v>
      </c>
      <c r="BZ265" s="19">
        <v>9</v>
      </c>
      <c r="CA265" s="19">
        <v>9</v>
      </c>
      <c r="CB265" s="19">
        <v>9</v>
      </c>
      <c r="CC265" s="19">
        <v>9</v>
      </c>
      <c r="CD265" s="3">
        <v>9</v>
      </c>
      <c r="CE265" s="19">
        <v>9</v>
      </c>
      <c r="CF265" s="3">
        <v>7</v>
      </c>
      <c r="CH265" s="3">
        <v>9</v>
      </c>
      <c r="CI265" s="3">
        <v>9</v>
      </c>
      <c r="CJ265" s="3">
        <v>7</v>
      </c>
      <c r="CK265" s="3">
        <v>9</v>
      </c>
      <c r="CL265" s="3">
        <v>9</v>
      </c>
      <c r="CM265" s="3" t="s">
        <v>1185</v>
      </c>
      <c r="CN265" s="3" t="s">
        <v>1185</v>
      </c>
      <c r="CO265" s="3" t="s">
        <v>1185</v>
      </c>
      <c r="CP265" s="3" t="s">
        <v>1185</v>
      </c>
      <c r="CQ265" s="3" t="s">
        <v>1185</v>
      </c>
      <c r="CR265" s="3" t="s">
        <v>1185</v>
      </c>
      <c r="CS265" s="3" t="s">
        <v>1185</v>
      </c>
      <c r="CT265" s="3">
        <v>7</v>
      </c>
      <c r="CU265" s="3">
        <v>7</v>
      </c>
      <c r="CV265" s="3">
        <v>7</v>
      </c>
      <c r="CW265" s="3">
        <v>9</v>
      </c>
      <c r="CX265" s="3">
        <v>9</v>
      </c>
      <c r="DS265" s="1"/>
      <c r="DT265" s="1"/>
      <c r="DU265" s="1"/>
      <c r="DV265" s="1"/>
      <c r="DW265" s="1"/>
      <c r="DX265" s="1"/>
      <c r="DY265" s="1"/>
      <c r="DZ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</row>
    <row r="266" spans="1:142" s="3" customFormat="1" ht="15" customHeight="1" x14ac:dyDescent="0.25">
      <c r="A266" s="6" t="s">
        <v>405</v>
      </c>
      <c r="B266" s="2" t="s">
        <v>784</v>
      </c>
      <c r="C266" s="2" t="s">
        <v>1479</v>
      </c>
      <c r="D266" s="25" t="s">
        <v>1183</v>
      </c>
      <c r="E266" s="4" t="s">
        <v>1190</v>
      </c>
      <c r="F266" s="4" t="s">
        <v>813</v>
      </c>
      <c r="G266" s="26">
        <v>1994</v>
      </c>
      <c r="H266" s="5"/>
      <c r="I266" s="5"/>
      <c r="J266" s="5"/>
      <c r="K266" s="1"/>
      <c r="L266" s="2"/>
      <c r="M266" s="5"/>
      <c r="N266" s="2" t="s">
        <v>1480</v>
      </c>
      <c r="O266" s="28" t="s">
        <v>2610</v>
      </c>
      <c r="Q266" s="27">
        <v>2</v>
      </c>
      <c r="W266" s="3">
        <v>4</v>
      </c>
      <c r="AB266" s="3">
        <v>8</v>
      </c>
      <c r="AC266" s="3">
        <v>6</v>
      </c>
      <c r="AJ266" s="3">
        <v>6</v>
      </c>
      <c r="AX266" s="3">
        <v>6</v>
      </c>
      <c r="AZ266" s="3">
        <v>4</v>
      </c>
      <c r="BA266" s="3">
        <v>1</v>
      </c>
      <c r="BB266" s="3">
        <v>9</v>
      </c>
      <c r="BM266" s="3">
        <v>9</v>
      </c>
      <c r="BQ266" s="3">
        <v>7</v>
      </c>
      <c r="BS266" s="3">
        <v>9</v>
      </c>
      <c r="BT266" s="19">
        <v>9</v>
      </c>
      <c r="BU266" s="3">
        <v>7</v>
      </c>
      <c r="BV266" s="19">
        <v>9</v>
      </c>
      <c r="BW266" s="19">
        <v>9</v>
      </c>
      <c r="BX266" s="19">
        <v>9</v>
      </c>
      <c r="BY266" s="19">
        <v>7</v>
      </c>
      <c r="BZ266" s="19">
        <v>8</v>
      </c>
      <c r="CA266" s="19">
        <v>8</v>
      </c>
      <c r="CB266" s="19">
        <v>8</v>
      </c>
      <c r="CC266" s="19">
        <v>9</v>
      </c>
      <c r="CD266" s="3">
        <v>9</v>
      </c>
      <c r="CE266" s="19">
        <v>9</v>
      </c>
      <c r="CF266" s="3">
        <v>8</v>
      </c>
      <c r="CG266" s="19">
        <v>5</v>
      </c>
      <c r="CH266" s="3">
        <v>9</v>
      </c>
      <c r="CI266" s="3">
        <v>9</v>
      </c>
      <c r="CJ266" s="3">
        <v>7</v>
      </c>
      <c r="CK266" s="3">
        <v>9</v>
      </c>
      <c r="CL266" s="3">
        <v>9</v>
      </c>
      <c r="CM266" s="3" t="s">
        <v>1185</v>
      </c>
      <c r="CN266" s="3" t="s">
        <v>1185</v>
      </c>
      <c r="CO266" s="3" t="s">
        <v>1185</v>
      </c>
      <c r="CP266" s="3" t="s">
        <v>1185</v>
      </c>
      <c r="CQ266" s="3" t="s">
        <v>1185</v>
      </c>
      <c r="CR266" s="3" t="s">
        <v>1185</v>
      </c>
      <c r="CS266" s="3" t="s">
        <v>1185</v>
      </c>
      <c r="CT266" s="3">
        <v>9</v>
      </c>
      <c r="CU266" s="3">
        <v>9</v>
      </c>
      <c r="CV266" s="3">
        <v>9</v>
      </c>
      <c r="CW266" s="3">
        <v>8</v>
      </c>
      <c r="CX266" s="3">
        <v>9</v>
      </c>
      <c r="DS266" s="1"/>
      <c r="DT266" s="1"/>
      <c r="DU266" s="1"/>
      <c r="DV266" s="1"/>
      <c r="DW266" s="1"/>
      <c r="DX266" s="1"/>
      <c r="DY266" s="1"/>
      <c r="DZ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</row>
    <row r="267" spans="1:142" s="3" customFormat="1" ht="15" customHeight="1" x14ac:dyDescent="0.25">
      <c r="A267" s="6" t="s">
        <v>406</v>
      </c>
      <c r="B267" s="2" t="s">
        <v>784</v>
      </c>
      <c r="C267" s="2" t="s">
        <v>1481</v>
      </c>
      <c r="D267" s="25" t="s">
        <v>1183</v>
      </c>
      <c r="E267" s="4" t="s">
        <v>1190</v>
      </c>
      <c r="F267" s="4" t="s">
        <v>809</v>
      </c>
      <c r="G267" s="26">
        <v>1993</v>
      </c>
      <c r="H267" s="5"/>
      <c r="I267" s="5"/>
      <c r="J267" s="5"/>
      <c r="K267" s="1"/>
      <c r="L267" s="2"/>
      <c r="M267" s="5"/>
      <c r="N267" s="2" t="s">
        <v>1482</v>
      </c>
      <c r="O267" s="28" t="s">
        <v>2611</v>
      </c>
      <c r="Q267" s="27">
        <v>2</v>
      </c>
      <c r="W267" s="3">
        <v>4</v>
      </c>
      <c r="AB267" s="3">
        <v>8</v>
      </c>
      <c r="AC267" s="3">
        <v>8</v>
      </c>
      <c r="AJ267" s="3">
        <v>3</v>
      </c>
      <c r="AX267" s="3">
        <v>2</v>
      </c>
      <c r="AZ267" s="3">
        <v>2</v>
      </c>
      <c r="BA267" s="3">
        <v>1</v>
      </c>
      <c r="BB267" s="3">
        <v>9</v>
      </c>
      <c r="BM267" s="3">
        <v>9</v>
      </c>
      <c r="BQ267" s="3">
        <v>7</v>
      </c>
      <c r="BR267" s="3">
        <v>7</v>
      </c>
      <c r="BU267" s="3">
        <v>9</v>
      </c>
      <c r="BV267" s="19">
        <v>5</v>
      </c>
      <c r="BW267" s="19">
        <v>9</v>
      </c>
      <c r="BX267" s="19">
        <v>5</v>
      </c>
      <c r="BZ267" s="19">
        <v>9</v>
      </c>
      <c r="CA267" s="19">
        <v>3</v>
      </c>
      <c r="CC267" s="19">
        <v>7</v>
      </c>
      <c r="CD267" s="3">
        <v>7</v>
      </c>
      <c r="CE267" s="19">
        <v>6</v>
      </c>
      <c r="CF267" s="19">
        <v>9</v>
      </c>
      <c r="CH267" s="3">
        <v>9</v>
      </c>
      <c r="CI267" s="3">
        <v>3</v>
      </c>
      <c r="CJ267" s="19">
        <v>9</v>
      </c>
      <c r="CK267" s="19">
        <v>5</v>
      </c>
      <c r="CL267" s="19">
        <v>9</v>
      </c>
      <c r="CM267" s="19">
        <v>7</v>
      </c>
      <c r="CO267" s="3" t="s">
        <v>1185</v>
      </c>
      <c r="CP267" s="3" t="s">
        <v>1185</v>
      </c>
      <c r="CQ267" s="3" t="s">
        <v>1185</v>
      </c>
      <c r="CR267" s="3" t="s">
        <v>1185</v>
      </c>
      <c r="CS267" s="3" t="s">
        <v>1185</v>
      </c>
      <c r="DQ267" s="19">
        <v>9</v>
      </c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</row>
    <row r="268" spans="1:142" s="3" customFormat="1" ht="15" customHeight="1" x14ac:dyDescent="0.25">
      <c r="A268" s="6" t="s">
        <v>407</v>
      </c>
      <c r="B268" s="2" t="s">
        <v>784</v>
      </c>
      <c r="C268" s="2" t="s">
        <v>1483</v>
      </c>
      <c r="D268" s="25" t="s">
        <v>1183</v>
      </c>
      <c r="E268" s="4" t="s">
        <v>1190</v>
      </c>
      <c r="F268" s="4" t="s">
        <v>801</v>
      </c>
      <c r="G268" s="26">
        <v>1992</v>
      </c>
      <c r="H268" s="5"/>
      <c r="I268" s="5"/>
      <c r="J268" s="5"/>
      <c r="K268" s="1"/>
      <c r="L268" s="2"/>
      <c r="M268" s="5"/>
      <c r="N268" s="2" t="s">
        <v>1484</v>
      </c>
      <c r="O268" s="28" t="s">
        <v>2612</v>
      </c>
      <c r="Q268" s="27">
        <v>2</v>
      </c>
      <c r="W268" s="3">
        <v>4</v>
      </c>
      <c r="AB268" s="3">
        <v>1</v>
      </c>
      <c r="AC268" s="3">
        <v>7</v>
      </c>
      <c r="AJ268" s="3">
        <v>5</v>
      </c>
      <c r="AX268" s="3">
        <v>3</v>
      </c>
      <c r="AZ268" s="3">
        <v>3</v>
      </c>
      <c r="BA268" s="3">
        <v>1</v>
      </c>
      <c r="BB268" s="3">
        <v>9</v>
      </c>
      <c r="BM268" s="3">
        <v>9</v>
      </c>
      <c r="BQ268" s="3">
        <v>8</v>
      </c>
      <c r="BR268" s="3">
        <v>9</v>
      </c>
      <c r="BT268" s="19">
        <v>9</v>
      </c>
      <c r="BU268" s="3">
        <v>9</v>
      </c>
      <c r="BV268" s="19">
        <v>6</v>
      </c>
      <c r="BW268" s="19">
        <v>9</v>
      </c>
      <c r="BX268" s="19">
        <v>7</v>
      </c>
      <c r="BZ268" s="19">
        <v>9</v>
      </c>
      <c r="CA268" s="19">
        <v>7</v>
      </c>
      <c r="CB268" s="19">
        <v>9</v>
      </c>
      <c r="CC268" s="19">
        <v>7</v>
      </c>
      <c r="CD268" s="3">
        <v>9</v>
      </c>
      <c r="CE268" s="19">
        <v>6</v>
      </c>
      <c r="CF268" s="19">
        <v>9</v>
      </c>
      <c r="CH268" s="3">
        <v>8</v>
      </c>
      <c r="CI268" s="3">
        <v>8</v>
      </c>
      <c r="CJ268" s="19">
        <v>9</v>
      </c>
      <c r="CK268" s="19">
        <v>9</v>
      </c>
      <c r="CL268" s="19">
        <v>8</v>
      </c>
      <c r="CM268" s="19">
        <v>9</v>
      </c>
      <c r="CN268" s="3" t="s">
        <v>1185</v>
      </c>
      <c r="CO268" s="3" t="s">
        <v>1185</v>
      </c>
      <c r="CP268" s="3" t="s">
        <v>1185</v>
      </c>
      <c r="CQ268" s="3" t="s">
        <v>1185</v>
      </c>
      <c r="CR268" s="3" t="s">
        <v>1185</v>
      </c>
      <c r="CS268" s="3" t="s">
        <v>1185</v>
      </c>
      <c r="DQ268" s="19">
        <v>9</v>
      </c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</row>
    <row r="269" spans="1:142" s="3" customFormat="1" ht="15" customHeight="1" x14ac:dyDescent="0.25">
      <c r="A269" s="6" t="s">
        <v>408</v>
      </c>
      <c r="B269" s="2" t="s">
        <v>784</v>
      </c>
      <c r="C269" s="2" t="s">
        <v>1485</v>
      </c>
      <c r="D269" s="25" t="s">
        <v>1183</v>
      </c>
      <c r="E269" s="4" t="s">
        <v>1190</v>
      </c>
      <c r="F269" s="4" t="s">
        <v>793</v>
      </c>
      <c r="G269" s="26">
        <v>1992</v>
      </c>
      <c r="H269" s="5"/>
      <c r="I269" s="5"/>
      <c r="J269" s="5"/>
      <c r="K269" s="1"/>
      <c r="L269" s="2"/>
      <c r="M269" s="5"/>
      <c r="N269" s="2" t="s">
        <v>1486</v>
      </c>
      <c r="O269" s="28" t="s">
        <v>2613</v>
      </c>
      <c r="Q269" s="27">
        <v>2</v>
      </c>
      <c r="W269" s="3">
        <v>4</v>
      </c>
      <c r="AB269" s="3">
        <v>8</v>
      </c>
      <c r="AC269" s="3">
        <v>7</v>
      </c>
      <c r="AJ269" s="3">
        <v>5</v>
      </c>
      <c r="AX269" s="3">
        <v>5</v>
      </c>
      <c r="AZ269" s="3">
        <v>4</v>
      </c>
      <c r="BA269" s="3">
        <v>1</v>
      </c>
      <c r="BB269" s="3">
        <v>9</v>
      </c>
      <c r="BM269" s="3">
        <v>9</v>
      </c>
      <c r="BQ269" s="3">
        <v>8</v>
      </c>
      <c r="BR269" s="3">
        <v>9</v>
      </c>
      <c r="BT269" s="19">
        <v>9</v>
      </c>
      <c r="BU269" s="3">
        <v>9</v>
      </c>
      <c r="BV269" s="19">
        <v>6</v>
      </c>
      <c r="BW269" s="19">
        <v>9</v>
      </c>
      <c r="BX269" s="19">
        <v>8</v>
      </c>
      <c r="BZ269" s="19">
        <v>9</v>
      </c>
      <c r="CA269" s="19">
        <v>9</v>
      </c>
      <c r="CB269" s="19">
        <v>9</v>
      </c>
      <c r="CC269" s="19">
        <v>7</v>
      </c>
      <c r="CD269" s="3">
        <v>8</v>
      </c>
      <c r="CE269" s="19">
        <v>7</v>
      </c>
      <c r="CF269" s="19">
        <v>9</v>
      </c>
      <c r="CH269" s="3">
        <v>9</v>
      </c>
      <c r="CI269" s="3">
        <v>9</v>
      </c>
      <c r="CJ269" s="19">
        <v>9</v>
      </c>
      <c r="CK269" s="19">
        <v>9</v>
      </c>
      <c r="CL269" s="19">
        <v>9</v>
      </c>
      <c r="CM269" s="19">
        <v>9</v>
      </c>
      <c r="CN269" s="3" t="s">
        <v>1185</v>
      </c>
      <c r="CO269" s="3" t="s">
        <v>1185</v>
      </c>
      <c r="CP269" s="3" t="s">
        <v>1185</v>
      </c>
      <c r="CQ269" s="3" t="s">
        <v>1185</v>
      </c>
      <c r="CR269" s="3" t="s">
        <v>1185</v>
      </c>
      <c r="CS269" s="3" t="s">
        <v>1185</v>
      </c>
      <c r="DQ269" s="19">
        <v>9</v>
      </c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</row>
    <row r="270" spans="1:142" s="3" customFormat="1" ht="15" customHeight="1" x14ac:dyDescent="0.25">
      <c r="A270" s="6" t="s">
        <v>409</v>
      </c>
      <c r="B270" s="2" t="s">
        <v>784</v>
      </c>
      <c r="C270" s="2" t="s">
        <v>1487</v>
      </c>
      <c r="D270" s="25" t="s">
        <v>1183</v>
      </c>
      <c r="E270" s="4" t="s">
        <v>1190</v>
      </c>
      <c r="F270" s="4" t="s">
        <v>813</v>
      </c>
      <c r="G270" s="26">
        <v>1994</v>
      </c>
      <c r="H270" s="5"/>
      <c r="I270" s="5"/>
      <c r="J270" s="5"/>
      <c r="K270" s="1"/>
      <c r="L270" s="2"/>
      <c r="M270" s="5"/>
      <c r="N270" s="2" t="s">
        <v>1488</v>
      </c>
      <c r="O270" s="28" t="s">
        <v>2614</v>
      </c>
      <c r="Q270" s="27">
        <v>2</v>
      </c>
      <c r="W270" s="3">
        <v>4</v>
      </c>
      <c r="AB270" s="3">
        <v>6</v>
      </c>
      <c r="AC270" s="3">
        <v>5</v>
      </c>
      <c r="AJ270" s="3">
        <v>3</v>
      </c>
      <c r="AX270" s="3">
        <v>3</v>
      </c>
      <c r="AZ270" s="3">
        <v>5</v>
      </c>
      <c r="BA270" s="3">
        <v>1</v>
      </c>
      <c r="BB270" s="3">
        <v>9</v>
      </c>
      <c r="BM270" s="3">
        <v>9</v>
      </c>
      <c r="BQ270" s="3">
        <v>8</v>
      </c>
      <c r="BR270" s="3">
        <v>9</v>
      </c>
      <c r="BT270" s="19">
        <v>9</v>
      </c>
      <c r="BU270" s="3">
        <v>9</v>
      </c>
      <c r="BV270" s="19">
        <v>7</v>
      </c>
      <c r="BW270" s="19">
        <v>9</v>
      </c>
      <c r="BX270" s="19">
        <v>8</v>
      </c>
      <c r="BZ270" s="19">
        <v>9</v>
      </c>
      <c r="CA270" s="19">
        <v>7</v>
      </c>
      <c r="CB270" s="19">
        <v>9</v>
      </c>
      <c r="CC270" s="19">
        <v>7</v>
      </c>
      <c r="CD270" s="3">
        <v>9</v>
      </c>
      <c r="CE270" s="19">
        <v>9</v>
      </c>
      <c r="CF270" s="19">
        <v>9</v>
      </c>
      <c r="CH270" s="3">
        <v>9</v>
      </c>
      <c r="CI270" s="3">
        <v>9</v>
      </c>
      <c r="CJ270" s="19">
        <v>9</v>
      </c>
      <c r="CK270" s="19">
        <v>9</v>
      </c>
      <c r="CL270" s="19">
        <v>7</v>
      </c>
      <c r="CM270" s="19">
        <v>8</v>
      </c>
      <c r="CN270" s="3" t="s">
        <v>1185</v>
      </c>
      <c r="CO270" s="3" t="s">
        <v>1185</v>
      </c>
      <c r="CP270" s="3" t="s">
        <v>1185</v>
      </c>
      <c r="CQ270" s="3" t="s">
        <v>1185</v>
      </c>
      <c r="CR270" s="3" t="s">
        <v>1185</v>
      </c>
      <c r="CS270" s="3" t="s">
        <v>1185</v>
      </c>
      <c r="DR270" s="3">
        <v>9</v>
      </c>
      <c r="DS270" s="1"/>
      <c r="DT270" s="1"/>
      <c r="DU270" s="1"/>
      <c r="DV270" s="1"/>
      <c r="DW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</row>
    <row r="271" spans="1:142" s="3" customFormat="1" ht="15" customHeight="1" x14ac:dyDescent="0.25">
      <c r="A271" s="6" t="s">
        <v>410</v>
      </c>
      <c r="B271" s="2" t="s">
        <v>784</v>
      </c>
      <c r="C271" s="2" t="s">
        <v>1489</v>
      </c>
      <c r="D271" s="25" t="s">
        <v>1183</v>
      </c>
      <c r="E271" s="4" t="s">
        <v>1190</v>
      </c>
      <c r="F271" s="4" t="s">
        <v>813</v>
      </c>
      <c r="G271" s="26">
        <v>1995</v>
      </c>
      <c r="H271" s="5"/>
      <c r="I271" s="5"/>
      <c r="J271" s="5"/>
      <c r="K271" s="1"/>
      <c r="L271" s="2"/>
      <c r="M271" s="5"/>
      <c r="N271" s="2" t="s">
        <v>1490</v>
      </c>
      <c r="O271" s="28" t="s">
        <v>2615</v>
      </c>
      <c r="Q271" s="27">
        <v>2</v>
      </c>
      <c r="W271" s="3">
        <v>4</v>
      </c>
      <c r="AB271" s="3">
        <v>2</v>
      </c>
      <c r="AC271" s="3">
        <v>3</v>
      </c>
      <c r="AJ271" s="3">
        <v>6</v>
      </c>
      <c r="AX271" s="3">
        <v>2</v>
      </c>
      <c r="AZ271" s="3">
        <v>2</v>
      </c>
      <c r="BA271" s="3">
        <v>1</v>
      </c>
      <c r="BB271" s="3">
        <v>9</v>
      </c>
      <c r="BM271" s="3">
        <v>4</v>
      </c>
      <c r="BQ271" s="3">
        <v>1</v>
      </c>
      <c r="BR271" s="3">
        <v>1</v>
      </c>
      <c r="BT271" s="19">
        <v>1</v>
      </c>
      <c r="BU271" s="3">
        <v>1</v>
      </c>
      <c r="BV271" s="19">
        <v>1</v>
      </c>
      <c r="BW271" s="19">
        <v>1</v>
      </c>
      <c r="BX271" s="19">
        <v>1</v>
      </c>
      <c r="BZ271" s="19">
        <v>9</v>
      </c>
      <c r="CA271" s="19">
        <v>1</v>
      </c>
      <c r="CB271" s="19">
        <v>1</v>
      </c>
      <c r="CC271" s="19">
        <v>1</v>
      </c>
      <c r="CD271" s="3">
        <v>9</v>
      </c>
      <c r="CE271" s="19">
        <v>1</v>
      </c>
      <c r="CF271" s="19">
        <v>9</v>
      </c>
      <c r="CH271" s="3">
        <v>8</v>
      </c>
      <c r="CI271" s="3">
        <v>1</v>
      </c>
      <c r="CJ271" s="19">
        <v>1</v>
      </c>
      <c r="CK271" s="19">
        <v>7</v>
      </c>
      <c r="CM271" s="19">
        <v>9</v>
      </c>
      <c r="CN271" s="3" t="s">
        <v>1185</v>
      </c>
      <c r="CO271" s="3" t="s">
        <v>1185</v>
      </c>
      <c r="CP271" s="3" t="s">
        <v>1185</v>
      </c>
      <c r="CQ271" s="3" t="s">
        <v>1185</v>
      </c>
      <c r="CR271" s="3" t="s">
        <v>1185</v>
      </c>
      <c r="CS271" s="3" t="s">
        <v>1185</v>
      </c>
      <c r="DR271" s="3">
        <v>9</v>
      </c>
      <c r="DS271" s="1"/>
      <c r="DT271" s="1"/>
      <c r="DX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</row>
    <row r="272" spans="1:142" ht="15" customHeight="1" x14ac:dyDescent="0.25">
      <c r="A272" s="6" t="s">
        <v>411</v>
      </c>
      <c r="B272" s="2" t="s">
        <v>784</v>
      </c>
      <c r="C272" s="2" t="s">
        <v>1491</v>
      </c>
      <c r="D272" s="25" t="s">
        <v>1183</v>
      </c>
      <c r="E272" s="4" t="s">
        <v>1190</v>
      </c>
      <c r="F272" s="4" t="s">
        <v>1320</v>
      </c>
      <c r="G272" s="26">
        <v>1995</v>
      </c>
      <c r="H272" s="5"/>
      <c r="I272" s="5"/>
      <c r="J272" s="5"/>
      <c r="M272" s="5"/>
      <c r="N272" s="2" t="s">
        <v>1492</v>
      </c>
      <c r="O272" s="28" t="s">
        <v>2616</v>
      </c>
      <c r="P272" s="3"/>
      <c r="Q272" s="27">
        <v>2</v>
      </c>
      <c r="R272" s="3"/>
      <c r="S272" s="3"/>
      <c r="T272" s="3"/>
      <c r="U272" s="3"/>
      <c r="V272" s="3"/>
      <c r="W272" s="3">
        <v>4</v>
      </c>
      <c r="X272" s="3"/>
      <c r="Z272" s="3"/>
      <c r="AA272" s="3"/>
      <c r="AB272" s="3">
        <v>1</v>
      </c>
      <c r="AC272" s="3">
        <v>7</v>
      </c>
      <c r="AD272" s="3"/>
      <c r="AE272" s="3"/>
      <c r="AF272" s="3"/>
      <c r="AG272" s="3"/>
      <c r="AH272" s="3"/>
      <c r="AI272" s="3"/>
      <c r="AJ272" s="3">
        <v>6</v>
      </c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>
        <v>2</v>
      </c>
      <c r="AY272" s="3"/>
      <c r="AZ272" s="3">
        <v>5</v>
      </c>
      <c r="BA272" s="3">
        <v>1</v>
      </c>
      <c r="BB272" s="3">
        <v>9</v>
      </c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>
        <v>9</v>
      </c>
      <c r="BN272" s="3"/>
      <c r="BO272" s="3"/>
      <c r="BP272" s="3"/>
      <c r="BQ272" s="3">
        <v>7</v>
      </c>
      <c r="BR272" s="3">
        <v>9</v>
      </c>
      <c r="BS272" s="3"/>
      <c r="BT272" s="19">
        <v>9</v>
      </c>
      <c r="BU272" s="3">
        <v>9</v>
      </c>
      <c r="BV272" s="19">
        <v>7</v>
      </c>
      <c r="BW272" s="19">
        <v>9</v>
      </c>
      <c r="BX272" s="19">
        <v>8</v>
      </c>
      <c r="BY272" s="3"/>
      <c r="BZ272" s="19">
        <v>9</v>
      </c>
      <c r="CA272" s="19">
        <v>9</v>
      </c>
      <c r="CB272" s="19">
        <v>8</v>
      </c>
      <c r="CC272" s="19">
        <v>7</v>
      </c>
      <c r="CD272" s="3">
        <v>9</v>
      </c>
      <c r="CE272" s="19">
        <v>5</v>
      </c>
      <c r="CF272" s="19">
        <v>9</v>
      </c>
      <c r="CG272" s="3"/>
      <c r="CH272" s="3">
        <v>9</v>
      </c>
      <c r="CI272" s="3">
        <v>6</v>
      </c>
      <c r="CJ272" s="19">
        <v>9</v>
      </c>
      <c r="CK272" s="19">
        <v>9</v>
      </c>
      <c r="CL272" s="19">
        <v>8</v>
      </c>
      <c r="CM272" s="19">
        <v>9</v>
      </c>
      <c r="CN272" s="3" t="s">
        <v>1185</v>
      </c>
      <c r="CO272" s="3" t="s">
        <v>1185</v>
      </c>
      <c r="CP272" s="3" t="s">
        <v>1185</v>
      </c>
      <c r="CQ272" s="3" t="s">
        <v>1185</v>
      </c>
      <c r="CR272" s="3" t="s">
        <v>1185</v>
      </c>
      <c r="CS272" s="3" t="s">
        <v>1185</v>
      </c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19">
        <v>9</v>
      </c>
      <c r="DR272" s="3"/>
      <c r="DY272" s="3"/>
      <c r="DZ272" s="3"/>
    </row>
    <row r="273" spans="1:142" s="3" customFormat="1" ht="15" customHeight="1" x14ac:dyDescent="0.25">
      <c r="A273" s="6" t="s">
        <v>412</v>
      </c>
      <c r="B273" s="2" t="s">
        <v>784</v>
      </c>
      <c r="C273" s="2" t="s">
        <v>1493</v>
      </c>
      <c r="D273" s="25" t="s">
        <v>1183</v>
      </c>
      <c r="E273" s="4" t="s">
        <v>1190</v>
      </c>
      <c r="F273" s="4" t="s">
        <v>1320</v>
      </c>
      <c r="G273" s="26">
        <v>1995</v>
      </c>
      <c r="H273" s="5"/>
      <c r="I273" s="5"/>
      <c r="J273" s="5"/>
      <c r="K273" s="1"/>
      <c r="L273" s="2"/>
      <c r="M273" s="5"/>
      <c r="N273" s="2" t="s">
        <v>1494</v>
      </c>
      <c r="O273" s="28" t="s">
        <v>2617</v>
      </c>
      <c r="Q273" s="27">
        <v>2</v>
      </c>
      <c r="W273" s="3">
        <v>4</v>
      </c>
      <c r="AB273" s="3">
        <v>7</v>
      </c>
      <c r="AC273" s="3">
        <v>5</v>
      </c>
      <c r="AJ273" s="3">
        <v>7</v>
      </c>
      <c r="AX273" s="3">
        <v>2</v>
      </c>
      <c r="AZ273" s="3">
        <v>5</v>
      </c>
      <c r="BA273" s="3">
        <v>1</v>
      </c>
      <c r="BB273" s="3">
        <v>9</v>
      </c>
      <c r="BM273" s="3">
        <v>9</v>
      </c>
      <c r="BQ273" s="3">
        <v>6</v>
      </c>
      <c r="BR273" s="3">
        <v>9</v>
      </c>
      <c r="BT273" s="19">
        <v>7</v>
      </c>
      <c r="BU273" s="3">
        <v>9</v>
      </c>
      <c r="BV273" s="19">
        <v>6</v>
      </c>
      <c r="BW273" s="19">
        <v>9</v>
      </c>
      <c r="BX273" s="19">
        <v>4</v>
      </c>
      <c r="BZ273" s="19">
        <v>9</v>
      </c>
      <c r="CA273" s="19">
        <v>7</v>
      </c>
      <c r="CB273" s="19">
        <v>7</v>
      </c>
      <c r="CC273" s="19">
        <v>7</v>
      </c>
      <c r="CD273" s="3">
        <v>8</v>
      </c>
      <c r="CF273" s="19">
        <v>9</v>
      </c>
      <c r="CH273" s="3">
        <v>8</v>
      </c>
      <c r="CJ273" s="19">
        <v>8</v>
      </c>
      <c r="CK273" s="19">
        <v>7</v>
      </c>
      <c r="CL273" s="19">
        <v>7</v>
      </c>
      <c r="CP273" s="3" t="s">
        <v>1185</v>
      </c>
      <c r="CQ273" s="3" t="s">
        <v>1185</v>
      </c>
      <c r="CR273" s="3" t="s">
        <v>1185</v>
      </c>
      <c r="DQ273" s="19">
        <v>9</v>
      </c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</row>
    <row r="274" spans="1:142" s="3" customFormat="1" ht="15" customHeight="1" x14ac:dyDescent="0.25">
      <c r="A274" s="6" t="s">
        <v>413</v>
      </c>
      <c r="B274" s="2" t="s">
        <v>784</v>
      </c>
      <c r="C274" s="2" t="s">
        <v>1495</v>
      </c>
      <c r="D274" s="25" t="s">
        <v>1183</v>
      </c>
      <c r="E274" s="4" t="s">
        <v>1190</v>
      </c>
      <c r="F274" s="4" t="s">
        <v>1320</v>
      </c>
      <c r="G274" s="26">
        <v>1995</v>
      </c>
      <c r="H274" s="5"/>
      <c r="I274" s="5"/>
      <c r="J274" s="5"/>
      <c r="K274" s="1"/>
      <c r="L274" s="2"/>
      <c r="M274" s="5"/>
      <c r="N274" s="2" t="s">
        <v>1496</v>
      </c>
      <c r="O274" s="28" t="s">
        <v>2618</v>
      </c>
      <c r="Q274" s="27">
        <v>2</v>
      </c>
      <c r="W274" s="3">
        <v>4</v>
      </c>
      <c r="AB274" s="3">
        <v>7</v>
      </c>
      <c r="AC274" s="3">
        <v>5</v>
      </c>
      <c r="AJ274" s="3">
        <v>4</v>
      </c>
      <c r="AX274" s="3">
        <v>3</v>
      </c>
      <c r="AZ274" s="3">
        <v>4</v>
      </c>
      <c r="BA274" s="3">
        <v>1</v>
      </c>
      <c r="BB274" s="3">
        <v>9</v>
      </c>
      <c r="BM274" s="3">
        <v>9</v>
      </c>
      <c r="BQ274" s="3">
        <v>6</v>
      </c>
      <c r="BR274" s="3">
        <v>9</v>
      </c>
      <c r="BT274" s="19">
        <v>9</v>
      </c>
      <c r="BU274" s="3">
        <v>9</v>
      </c>
      <c r="BV274" s="19">
        <v>8</v>
      </c>
      <c r="BW274" s="19">
        <v>9</v>
      </c>
      <c r="BX274" s="19">
        <v>7</v>
      </c>
      <c r="BZ274" s="19">
        <v>9</v>
      </c>
      <c r="CA274" s="19">
        <v>9</v>
      </c>
      <c r="CB274" s="19">
        <v>8</v>
      </c>
      <c r="CC274" s="19">
        <v>7</v>
      </c>
      <c r="CD274" s="3">
        <v>9</v>
      </c>
      <c r="CF274" s="19">
        <v>9</v>
      </c>
      <c r="CH274" s="3">
        <v>8</v>
      </c>
      <c r="CI274" s="3">
        <v>1</v>
      </c>
      <c r="CJ274" s="19">
        <v>9</v>
      </c>
      <c r="CK274" s="19">
        <v>9</v>
      </c>
      <c r="CL274" s="19">
        <v>8</v>
      </c>
      <c r="CM274" s="19">
        <v>8</v>
      </c>
      <c r="CN274" s="3" t="s">
        <v>1185</v>
      </c>
      <c r="CP274" s="3" t="s">
        <v>1185</v>
      </c>
      <c r="CQ274" s="3" t="s">
        <v>1185</v>
      </c>
      <c r="CR274" s="3" t="s">
        <v>1185</v>
      </c>
      <c r="CS274" s="3" t="s">
        <v>1185</v>
      </c>
      <c r="DQ274" s="19">
        <v>9</v>
      </c>
      <c r="DS274" s="1"/>
      <c r="DT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</row>
    <row r="275" spans="1:142" s="3" customFormat="1" ht="15" customHeight="1" x14ac:dyDescent="0.25">
      <c r="A275" s="6" t="s">
        <v>414</v>
      </c>
      <c r="B275" s="2" t="s">
        <v>784</v>
      </c>
      <c r="C275" s="2" t="s">
        <v>1497</v>
      </c>
      <c r="D275" s="25" t="s">
        <v>1183</v>
      </c>
      <c r="E275" s="4" t="s">
        <v>1190</v>
      </c>
      <c r="F275" s="4" t="s">
        <v>793</v>
      </c>
      <c r="G275" s="29"/>
      <c r="H275" s="5"/>
      <c r="I275" s="5"/>
      <c r="J275" s="5"/>
      <c r="K275" s="1"/>
      <c r="L275" s="2"/>
      <c r="M275" s="5"/>
      <c r="N275" s="2" t="s">
        <v>1498</v>
      </c>
      <c r="O275" s="28" t="s">
        <v>2619</v>
      </c>
      <c r="Q275" s="27">
        <v>2</v>
      </c>
      <c r="W275" s="3">
        <v>4</v>
      </c>
      <c r="AF275" s="3">
        <v>1</v>
      </c>
      <c r="AJ275" s="3">
        <v>4</v>
      </c>
      <c r="AX275" s="3">
        <v>3</v>
      </c>
      <c r="BA275" s="3">
        <v>1</v>
      </c>
      <c r="BB275" s="3">
        <v>9</v>
      </c>
      <c r="BM275" s="3">
        <v>9</v>
      </c>
      <c r="BQ275" s="3">
        <v>7</v>
      </c>
      <c r="BR275" s="3">
        <v>5</v>
      </c>
      <c r="BT275" s="19">
        <v>5</v>
      </c>
      <c r="BU275" s="3">
        <v>7</v>
      </c>
      <c r="BV275" s="19">
        <v>5</v>
      </c>
      <c r="BW275" s="19">
        <v>5</v>
      </c>
      <c r="BX275" s="19">
        <v>5</v>
      </c>
      <c r="BZ275" s="19">
        <v>9</v>
      </c>
      <c r="CA275" s="19">
        <v>5</v>
      </c>
      <c r="CB275" s="19">
        <v>3</v>
      </c>
      <c r="CC275" s="19">
        <v>5</v>
      </c>
      <c r="CD275" s="3">
        <v>9</v>
      </c>
      <c r="CF275" s="19">
        <v>9</v>
      </c>
      <c r="CH275" s="3">
        <v>9</v>
      </c>
      <c r="CI275" s="3">
        <v>7</v>
      </c>
      <c r="CJ275" s="19">
        <v>6</v>
      </c>
      <c r="CK275" s="19">
        <v>8</v>
      </c>
      <c r="CL275" s="19">
        <v>7</v>
      </c>
      <c r="CM275" s="19">
        <v>8</v>
      </c>
      <c r="CO275" s="3" t="s">
        <v>1185</v>
      </c>
      <c r="CP275" s="3" t="s">
        <v>1185</v>
      </c>
      <c r="CQ275" s="3" t="s">
        <v>1185</v>
      </c>
      <c r="CR275" s="3" t="s">
        <v>1185</v>
      </c>
      <c r="CS275" s="3" t="s">
        <v>1185</v>
      </c>
      <c r="DQ275" s="19">
        <v>1</v>
      </c>
      <c r="DS275" s="1"/>
      <c r="DT275" s="1"/>
      <c r="DU275" s="1"/>
      <c r="DV275" s="1"/>
      <c r="DW275" s="1"/>
      <c r="DY275" s="1"/>
      <c r="DZ275" s="1"/>
      <c r="EA275" s="1"/>
      <c r="EB275" s="1"/>
      <c r="EC275" s="1"/>
      <c r="ED275" s="1"/>
    </row>
    <row r="276" spans="1:142" s="3" customFormat="1" ht="15" customHeight="1" x14ac:dyDescent="0.25">
      <c r="A276" s="6" t="s">
        <v>415</v>
      </c>
      <c r="B276" s="2" t="s">
        <v>784</v>
      </c>
      <c r="C276" s="2" t="s">
        <v>1499</v>
      </c>
      <c r="D276" s="25" t="s">
        <v>1183</v>
      </c>
      <c r="E276" s="4" t="s">
        <v>1190</v>
      </c>
      <c r="F276" s="4" t="s">
        <v>809</v>
      </c>
      <c r="G276" s="26">
        <v>1984</v>
      </c>
      <c r="H276" s="5"/>
      <c r="I276" s="5"/>
      <c r="J276" s="5"/>
      <c r="K276" s="1"/>
      <c r="L276" s="2"/>
      <c r="M276" s="5"/>
      <c r="N276" s="2" t="s">
        <v>1500</v>
      </c>
      <c r="O276" s="28" t="s">
        <v>2620</v>
      </c>
      <c r="Q276" s="27">
        <v>2</v>
      </c>
      <c r="W276" s="3">
        <v>4</v>
      </c>
      <c r="AB276" s="3">
        <v>8</v>
      </c>
      <c r="AC276" s="3">
        <v>8</v>
      </c>
      <c r="AF276" s="3">
        <v>1</v>
      </c>
      <c r="AJ276" s="3">
        <v>5</v>
      </c>
      <c r="AX276" s="3">
        <v>3</v>
      </c>
      <c r="BA276" s="3">
        <v>1</v>
      </c>
      <c r="BB276" s="3">
        <v>9</v>
      </c>
      <c r="BM276" s="3">
        <v>9</v>
      </c>
      <c r="BQ276" s="3">
        <v>5</v>
      </c>
      <c r="BR276" s="3">
        <v>5</v>
      </c>
      <c r="BS276" s="3">
        <v>8</v>
      </c>
      <c r="BT276" s="19">
        <v>8</v>
      </c>
      <c r="BV276" s="19">
        <v>5</v>
      </c>
      <c r="BW276" s="19">
        <v>5</v>
      </c>
      <c r="BX276" s="19">
        <v>8</v>
      </c>
      <c r="BY276" s="19">
        <v>5</v>
      </c>
      <c r="BZ276" s="19">
        <v>7</v>
      </c>
      <c r="CA276" s="19">
        <v>5</v>
      </c>
      <c r="CB276" s="19">
        <v>3</v>
      </c>
      <c r="CC276" s="19">
        <v>8</v>
      </c>
      <c r="CD276" s="3">
        <v>5</v>
      </c>
      <c r="CE276" s="19">
        <v>7</v>
      </c>
      <c r="CF276" s="3">
        <v>6</v>
      </c>
      <c r="CG276" s="19">
        <v>7</v>
      </c>
      <c r="CH276" s="3">
        <v>8</v>
      </c>
      <c r="CI276" s="3">
        <v>5</v>
      </c>
      <c r="CJ276" s="3">
        <v>5</v>
      </c>
      <c r="CK276" s="3">
        <v>9</v>
      </c>
      <c r="CL276" s="3">
        <v>7</v>
      </c>
      <c r="CN276" s="3" t="s">
        <v>1185</v>
      </c>
      <c r="CP276" s="3" t="s">
        <v>1185</v>
      </c>
      <c r="CQ276" s="3" t="s">
        <v>1185</v>
      </c>
      <c r="CR276" s="3" t="s">
        <v>1185</v>
      </c>
      <c r="CS276" s="3" t="s">
        <v>1185</v>
      </c>
      <c r="CT276" s="3">
        <v>8</v>
      </c>
      <c r="CU276" s="3">
        <v>7</v>
      </c>
      <c r="CV276" s="3">
        <v>7</v>
      </c>
      <c r="CW276" s="3">
        <v>8</v>
      </c>
      <c r="CX276" s="3">
        <v>9</v>
      </c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</row>
    <row r="277" spans="1:142" ht="15" customHeight="1" x14ac:dyDescent="0.25">
      <c r="A277" s="6" t="s">
        <v>416</v>
      </c>
      <c r="B277" s="2" t="s">
        <v>784</v>
      </c>
      <c r="C277" s="2" t="s">
        <v>1501</v>
      </c>
      <c r="D277" s="25" t="s">
        <v>1183</v>
      </c>
      <c r="E277" s="4" t="s">
        <v>1190</v>
      </c>
      <c r="F277" s="4" t="s">
        <v>809</v>
      </c>
      <c r="G277" s="26">
        <v>1995</v>
      </c>
      <c r="H277" s="5"/>
      <c r="I277" s="5"/>
      <c r="J277" s="5"/>
      <c r="M277" s="5"/>
      <c r="N277" s="2" t="s">
        <v>1502</v>
      </c>
      <c r="O277" s="28" t="s">
        <v>2621</v>
      </c>
      <c r="P277" s="3"/>
      <c r="Q277" s="27">
        <v>2</v>
      </c>
      <c r="R277" s="3"/>
      <c r="S277" s="3"/>
      <c r="T277" s="3"/>
      <c r="U277" s="3"/>
      <c r="V277" s="3"/>
      <c r="W277" s="3">
        <v>4</v>
      </c>
      <c r="X277" s="3"/>
      <c r="Z277" s="3"/>
      <c r="AA277" s="3"/>
      <c r="AB277" s="3">
        <v>7</v>
      </c>
      <c r="AC277" s="3">
        <v>8</v>
      </c>
      <c r="AD277" s="3"/>
      <c r="AE277" s="3"/>
      <c r="AF277" s="3">
        <v>1</v>
      </c>
      <c r="AG277" s="3"/>
      <c r="AH277" s="3"/>
      <c r="AI277" s="3"/>
      <c r="AJ277" s="3">
        <v>4</v>
      </c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>
        <v>3</v>
      </c>
      <c r="AY277" s="3"/>
      <c r="AZ277" s="3">
        <v>1</v>
      </c>
      <c r="BA277" s="3">
        <v>1</v>
      </c>
      <c r="BB277" s="3">
        <v>9</v>
      </c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>
        <v>9</v>
      </c>
      <c r="BN277" s="3"/>
      <c r="BO277" s="3"/>
      <c r="BP277" s="3"/>
      <c r="BQ277" s="3">
        <v>8</v>
      </c>
      <c r="BR277" s="3">
        <v>5</v>
      </c>
      <c r="BS277" s="3"/>
      <c r="BT277" s="19">
        <v>5</v>
      </c>
      <c r="BU277" s="3">
        <v>7</v>
      </c>
      <c r="BV277" s="19">
        <v>5</v>
      </c>
      <c r="BW277" s="19">
        <v>5</v>
      </c>
      <c r="BX277" s="19">
        <v>5</v>
      </c>
      <c r="BY277" s="3"/>
      <c r="BZ277" s="19">
        <v>9</v>
      </c>
      <c r="CA277" s="19">
        <v>6</v>
      </c>
      <c r="CB277" s="19">
        <v>6</v>
      </c>
      <c r="CC277" s="19">
        <v>5</v>
      </c>
      <c r="CD277" s="3">
        <v>5</v>
      </c>
      <c r="CE277" s="19">
        <v>6</v>
      </c>
      <c r="CF277" s="19">
        <v>9</v>
      </c>
      <c r="CG277" s="3"/>
      <c r="CH277" s="3">
        <v>8</v>
      </c>
      <c r="CI277" s="3"/>
      <c r="CJ277" s="19">
        <v>7</v>
      </c>
      <c r="CK277" s="19">
        <v>6</v>
      </c>
      <c r="CL277" s="19">
        <v>9</v>
      </c>
      <c r="CM277" s="19">
        <v>4</v>
      </c>
      <c r="CN277" s="3" t="s">
        <v>1185</v>
      </c>
      <c r="CO277" s="3"/>
      <c r="CP277" s="3" t="s">
        <v>1185</v>
      </c>
      <c r="CQ277" s="3" t="s">
        <v>1185</v>
      </c>
      <c r="CS277" s="3" t="s">
        <v>1185</v>
      </c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19">
        <v>9</v>
      </c>
      <c r="DR277" s="3"/>
      <c r="DU277" s="3"/>
      <c r="DV277" s="3"/>
      <c r="DW277" s="3"/>
      <c r="DY277" s="3"/>
      <c r="DZ277" s="3"/>
    </row>
    <row r="278" spans="1:142" ht="15" customHeight="1" x14ac:dyDescent="0.25">
      <c r="A278" s="6" t="s">
        <v>417</v>
      </c>
      <c r="B278" s="2" t="s">
        <v>784</v>
      </c>
      <c r="C278" s="2" t="s">
        <v>1503</v>
      </c>
      <c r="D278" s="25" t="s">
        <v>1183</v>
      </c>
      <c r="E278" s="4" t="s">
        <v>1190</v>
      </c>
      <c r="F278" s="4" t="s">
        <v>854</v>
      </c>
      <c r="G278" s="26">
        <v>1996</v>
      </c>
      <c r="H278" s="5"/>
      <c r="I278" s="5"/>
      <c r="J278" s="5"/>
      <c r="M278" s="5"/>
      <c r="N278" s="2" t="s">
        <v>1504</v>
      </c>
      <c r="O278" s="28" t="s">
        <v>2622</v>
      </c>
      <c r="P278" s="3"/>
      <c r="Q278" s="27">
        <v>2</v>
      </c>
      <c r="R278" s="3"/>
      <c r="S278" s="3"/>
      <c r="T278" s="3"/>
      <c r="U278" s="3"/>
      <c r="V278" s="3"/>
      <c r="W278" s="3">
        <v>4</v>
      </c>
      <c r="X278" s="3"/>
      <c r="Z278" s="3"/>
      <c r="AA278" s="3"/>
      <c r="AB278" s="3">
        <v>1</v>
      </c>
      <c r="AC278" s="3">
        <v>5</v>
      </c>
      <c r="AD278" s="3"/>
      <c r="AE278" s="3"/>
      <c r="AF278" s="3">
        <v>1</v>
      </c>
      <c r="AG278" s="3"/>
      <c r="AH278" s="3"/>
      <c r="AI278" s="3"/>
      <c r="AJ278" s="3">
        <v>4</v>
      </c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>
        <v>3</v>
      </c>
      <c r="AY278" s="3"/>
      <c r="AZ278" s="3">
        <v>1</v>
      </c>
      <c r="BA278" s="3">
        <v>1</v>
      </c>
      <c r="BB278" s="3">
        <v>9</v>
      </c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>
        <v>9</v>
      </c>
      <c r="BN278" s="3"/>
      <c r="BO278" s="3"/>
      <c r="BP278" s="3"/>
      <c r="BQ278" s="3">
        <v>9</v>
      </c>
      <c r="BR278" s="3">
        <v>9</v>
      </c>
      <c r="BS278" s="3"/>
      <c r="BT278" s="19">
        <v>9</v>
      </c>
      <c r="BU278" s="3">
        <v>9</v>
      </c>
      <c r="BV278" s="19">
        <v>6</v>
      </c>
      <c r="BW278" s="19">
        <v>9</v>
      </c>
      <c r="BX278" s="19">
        <v>8</v>
      </c>
      <c r="BY278" s="3"/>
      <c r="BZ278" s="19">
        <v>9</v>
      </c>
      <c r="CA278" s="19">
        <v>8</v>
      </c>
      <c r="CB278" s="19">
        <v>8</v>
      </c>
      <c r="CC278" s="19">
        <v>7</v>
      </c>
      <c r="CD278" s="3">
        <v>7</v>
      </c>
      <c r="CE278" s="19">
        <v>7</v>
      </c>
      <c r="CF278" s="19">
        <v>9</v>
      </c>
      <c r="CG278" s="3"/>
      <c r="CH278" s="3">
        <v>9</v>
      </c>
      <c r="CI278" s="3"/>
      <c r="CJ278" s="19">
        <v>9</v>
      </c>
      <c r="CK278" s="19">
        <v>9</v>
      </c>
      <c r="CL278" s="19">
        <v>7</v>
      </c>
      <c r="CM278" s="19">
        <v>9</v>
      </c>
      <c r="CN278" s="3" t="s">
        <v>1185</v>
      </c>
      <c r="CO278" s="3" t="s">
        <v>1185</v>
      </c>
      <c r="CP278" s="3" t="s">
        <v>1185</v>
      </c>
      <c r="CQ278" s="3" t="s">
        <v>1185</v>
      </c>
      <c r="CR278" s="3" t="s">
        <v>1185</v>
      </c>
      <c r="CS278" s="3" t="s">
        <v>1185</v>
      </c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R278" s="3"/>
      <c r="EE278" s="3"/>
      <c r="EF278" s="3"/>
      <c r="EG278" s="3"/>
      <c r="EH278" s="3"/>
      <c r="EI278" s="3"/>
      <c r="EJ278" s="3"/>
      <c r="EK278" s="3"/>
      <c r="EL278" s="3"/>
    </row>
    <row r="279" spans="1:142" ht="15" customHeight="1" x14ac:dyDescent="0.25">
      <c r="A279" s="6" t="s">
        <v>418</v>
      </c>
      <c r="B279" s="2" t="s">
        <v>784</v>
      </c>
      <c r="C279" s="2" t="s">
        <v>1505</v>
      </c>
      <c r="D279" s="25" t="s">
        <v>1183</v>
      </c>
      <c r="E279" s="4" t="s">
        <v>1190</v>
      </c>
      <c r="F279" s="4" t="s">
        <v>1204</v>
      </c>
      <c r="G279" s="29"/>
      <c r="H279" s="5"/>
      <c r="I279" s="5"/>
      <c r="J279" s="5"/>
      <c r="M279" s="5"/>
      <c r="N279" s="2" t="s">
        <v>1506</v>
      </c>
      <c r="O279" s="28" t="s">
        <v>2623</v>
      </c>
      <c r="P279" s="3"/>
      <c r="Q279" s="27"/>
      <c r="R279" s="3"/>
      <c r="S279" s="3"/>
      <c r="T279" s="3"/>
      <c r="U279" s="3"/>
      <c r="V279" s="3"/>
      <c r="W279" s="3">
        <v>4</v>
      </c>
      <c r="X279" s="3"/>
      <c r="Z279" s="3"/>
      <c r="AA279" s="3"/>
      <c r="AB279" s="3">
        <v>8</v>
      </c>
      <c r="AC279" s="3">
        <v>7</v>
      </c>
      <c r="AD279" s="3"/>
      <c r="AE279" s="3"/>
      <c r="AF279" s="3">
        <v>1</v>
      </c>
      <c r="AG279" s="3"/>
      <c r="AH279" s="3"/>
      <c r="AI279" s="3"/>
      <c r="AJ279" s="3">
        <v>7</v>
      </c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>
        <v>3</v>
      </c>
      <c r="AY279" s="3"/>
      <c r="AZ279" s="3">
        <v>2</v>
      </c>
      <c r="BA279" s="3"/>
      <c r="BB279" s="3">
        <v>9</v>
      </c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>
        <v>9</v>
      </c>
      <c r="BN279" s="3"/>
      <c r="BO279" s="3"/>
      <c r="BP279" s="3"/>
      <c r="BQ279" s="3">
        <v>1</v>
      </c>
      <c r="BR279" s="3">
        <v>1</v>
      </c>
      <c r="BS279" s="3"/>
      <c r="BT279" s="19">
        <v>1</v>
      </c>
      <c r="BU279" s="3">
        <v>1</v>
      </c>
      <c r="BV279" s="19">
        <v>1</v>
      </c>
      <c r="BW279" s="19">
        <v>3</v>
      </c>
      <c r="BX279" s="19">
        <v>1</v>
      </c>
      <c r="BY279" s="3"/>
      <c r="BZ279" s="19">
        <v>1</v>
      </c>
      <c r="CA279" s="19">
        <v>2</v>
      </c>
      <c r="CB279" s="19">
        <v>1</v>
      </c>
      <c r="CC279" s="19">
        <v>1</v>
      </c>
      <c r="CD279" s="3">
        <v>2</v>
      </c>
      <c r="CE279" s="19">
        <v>1</v>
      </c>
      <c r="CF279" s="19">
        <v>1</v>
      </c>
      <c r="CG279" s="3"/>
      <c r="CH279" s="3">
        <v>1</v>
      </c>
      <c r="CI279" s="3">
        <v>1</v>
      </c>
      <c r="CJ279" s="19">
        <v>2</v>
      </c>
      <c r="CK279" s="19">
        <v>1</v>
      </c>
      <c r="CL279" s="19">
        <v>1</v>
      </c>
      <c r="CM279" s="19">
        <v>1</v>
      </c>
      <c r="CN279" s="3" t="s">
        <v>1185</v>
      </c>
      <c r="CO279" s="3" t="s">
        <v>1185</v>
      </c>
      <c r="CP279" s="3" t="s">
        <v>1185</v>
      </c>
      <c r="CQ279" s="3" t="s">
        <v>1185</v>
      </c>
      <c r="CR279" s="3" t="s">
        <v>1185</v>
      </c>
      <c r="CS279" s="3" t="s">
        <v>1185</v>
      </c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R279" s="3">
        <v>7</v>
      </c>
      <c r="DX279" s="3"/>
      <c r="DY279" s="3"/>
      <c r="DZ279" s="3"/>
      <c r="EE279" s="3"/>
      <c r="EF279" s="3"/>
      <c r="EG279" s="3"/>
      <c r="EH279" s="3"/>
      <c r="EI279" s="3"/>
      <c r="EJ279" s="3"/>
      <c r="EK279" s="3"/>
      <c r="EL279" s="3"/>
    </row>
    <row r="280" spans="1:142" ht="15" customHeight="1" x14ac:dyDescent="0.25">
      <c r="A280" s="6" t="s">
        <v>419</v>
      </c>
      <c r="B280" s="2" t="s">
        <v>784</v>
      </c>
      <c r="C280" s="2" t="s">
        <v>1507</v>
      </c>
      <c r="D280" s="25" t="s">
        <v>1183</v>
      </c>
      <c r="E280" s="4" t="s">
        <v>1190</v>
      </c>
      <c r="F280" s="4" t="s">
        <v>1508</v>
      </c>
      <c r="G280" s="26">
        <v>1997</v>
      </c>
      <c r="H280" s="5"/>
      <c r="I280" s="5"/>
      <c r="J280" s="5"/>
      <c r="M280" s="5"/>
      <c r="N280" s="2" t="s">
        <v>1509</v>
      </c>
      <c r="O280" s="28" t="s">
        <v>2624</v>
      </c>
      <c r="P280" s="3"/>
      <c r="Q280" s="27"/>
      <c r="R280" s="3"/>
      <c r="S280" s="3"/>
      <c r="T280" s="3"/>
      <c r="U280" s="3"/>
      <c r="V280" s="3"/>
      <c r="W280" s="3">
        <v>4</v>
      </c>
      <c r="X280" s="3"/>
      <c r="Z280" s="3"/>
      <c r="AA280" s="3"/>
      <c r="AB280" s="3">
        <v>8</v>
      </c>
      <c r="AC280" s="3">
        <v>7</v>
      </c>
      <c r="AD280" s="3"/>
      <c r="AE280" s="3"/>
      <c r="AF280" s="3">
        <v>1</v>
      </c>
      <c r="AG280" s="3"/>
      <c r="AH280" s="3"/>
      <c r="AI280" s="3"/>
      <c r="AJ280" s="3">
        <v>5</v>
      </c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>
        <v>3</v>
      </c>
      <c r="AY280" s="3"/>
      <c r="AZ280" s="3">
        <v>1</v>
      </c>
      <c r="BA280" s="3"/>
      <c r="BB280" s="3">
        <v>9</v>
      </c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>
        <v>9</v>
      </c>
      <c r="BN280" s="3"/>
      <c r="BO280" s="3"/>
      <c r="BP280" s="3"/>
      <c r="BQ280" s="3">
        <v>7</v>
      </c>
      <c r="BR280" s="3">
        <v>8</v>
      </c>
      <c r="BS280" s="3">
        <v>8</v>
      </c>
      <c r="BT280" s="19">
        <v>7</v>
      </c>
      <c r="BU280" s="3"/>
      <c r="BV280" s="19">
        <v>5</v>
      </c>
      <c r="BW280" s="19">
        <v>7</v>
      </c>
      <c r="BX280" s="19">
        <v>7</v>
      </c>
      <c r="BY280" s="19">
        <v>5</v>
      </c>
      <c r="BZ280" s="19">
        <v>6</v>
      </c>
      <c r="CA280" s="19">
        <v>6</v>
      </c>
      <c r="CB280" s="19">
        <v>5</v>
      </c>
      <c r="CC280" s="19">
        <v>7</v>
      </c>
      <c r="CD280" s="3">
        <v>9</v>
      </c>
      <c r="CE280" s="19">
        <v>7</v>
      </c>
      <c r="CF280" s="3">
        <v>6</v>
      </c>
      <c r="CG280" s="19">
        <v>7</v>
      </c>
      <c r="CH280" s="3">
        <v>9</v>
      </c>
      <c r="CI280" s="3">
        <v>9</v>
      </c>
      <c r="CJ280" s="3">
        <v>6</v>
      </c>
      <c r="CK280" s="3">
        <v>7</v>
      </c>
      <c r="CL280" s="3">
        <v>7</v>
      </c>
      <c r="CM280" s="3" t="s">
        <v>1185</v>
      </c>
      <c r="CN280" s="3" t="s">
        <v>1185</v>
      </c>
      <c r="CO280" s="3" t="s">
        <v>1185</v>
      </c>
      <c r="CP280" s="3" t="s">
        <v>1185</v>
      </c>
      <c r="CQ280" s="3" t="s">
        <v>1185</v>
      </c>
      <c r="CR280" s="3" t="s">
        <v>1185</v>
      </c>
      <c r="CS280" s="3" t="s">
        <v>1185</v>
      </c>
      <c r="CT280" s="3">
        <v>7</v>
      </c>
      <c r="CU280" s="3">
        <v>8</v>
      </c>
      <c r="CV280" s="3">
        <v>7</v>
      </c>
      <c r="CW280" s="3">
        <v>9</v>
      </c>
      <c r="CX280" s="3">
        <v>7</v>
      </c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R280" s="3"/>
    </row>
    <row r="281" spans="1:142" ht="15" customHeight="1" x14ac:dyDescent="0.25">
      <c r="A281" s="6" t="s">
        <v>420</v>
      </c>
      <c r="B281" s="2" t="s">
        <v>784</v>
      </c>
      <c r="C281" s="2" t="s">
        <v>1510</v>
      </c>
      <c r="D281" s="25" t="s">
        <v>1183</v>
      </c>
      <c r="E281" s="4" t="s">
        <v>1190</v>
      </c>
      <c r="F281" s="4" t="s">
        <v>1508</v>
      </c>
      <c r="G281" s="26">
        <v>1997</v>
      </c>
      <c r="H281" s="5"/>
      <c r="I281" s="5"/>
      <c r="J281" s="5"/>
      <c r="M281" s="5"/>
      <c r="N281" s="2" t="s">
        <v>1511</v>
      </c>
      <c r="O281" s="28" t="s">
        <v>2625</v>
      </c>
      <c r="P281" s="3"/>
      <c r="Q281" s="27"/>
      <c r="R281" s="3"/>
      <c r="S281" s="3"/>
      <c r="T281" s="3"/>
      <c r="U281" s="3"/>
      <c r="V281" s="3"/>
      <c r="W281" s="3">
        <v>4</v>
      </c>
      <c r="X281" s="3"/>
      <c r="Z281" s="3"/>
      <c r="AA281" s="3"/>
      <c r="AB281" s="3">
        <v>8</v>
      </c>
      <c r="AC281" s="3">
        <v>7</v>
      </c>
      <c r="AD281" s="3"/>
      <c r="AE281" s="3"/>
      <c r="AF281" s="3">
        <v>1</v>
      </c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>
        <v>3</v>
      </c>
      <c r="AY281" s="3"/>
      <c r="AZ281" s="3">
        <v>1</v>
      </c>
      <c r="BA281" s="3"/>
      <c r="BB281" s="3">
        <v>9</v>
      </c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>
        <v>9</v>
      </c>
      <c r="BN281" s="3"/>
      <c r="BO281" s="3"/>
      <c r="BP281" s="3"/>
      <c r="BQ281" s="3">
        <v>9</v>
      </c>
      <c r="BR281" s="3">
        <v>9</v>
      </c>
      <c r="BS281" s="3">
        <v>5</v>
      </c>
      <c r="BT281" s="19">
        <v>9</v>
      </c>
      <c r="BU281" s="3">
        <v>1</v>
      </c>
      <c r="BV281" s="19">
        <v>9</v>
      </c>
      <c r="BW281" s="19">
        <v>9</v>
      </c>
      <c r="BX281" s="19">
        <v>8</v>
      </c>
      <c r="BY281" s="3"/>
      <c r="BZ281" s="19">
        <v>8</v>
      </c>
      <c r="CA281" s="19">
        <v>9</v>
      </c>
      <c r="CB281" s="19">
        <v>5</v>
      </c>
      <c r="CC281" s="19">
        <v>7</v>
      </c>
      <c r="CD281" s="3">
        <v>7</v>
      </c>
      <c r="CE281" s="19">
        <v>9</v>
      </c>
      <c r="CF281" s="3">
        <v>9</v>
      </c>
      <c r="CG281" s="3"/>
      <c r="CH281" s="3">
        <v>9</v>
      </c>
      <c r="CI281" s="3">
        <v>9</v>
      </c>
      <c r="CJ281" s="3">
        <v>7</v>
      </c>
      <c r="CK281" s="3">
        <v>7</v>
      </c>
      <c r="CL281" s="3">
        <v>7</v>
      </c>
      <c r="CM281" s="3" t="s">
        <v>1185</v>
      </c>
      <c r="CN281" s="3" t="s">
        <v>1185</v>
      </c>
      <c r="CO281" s="3" t="s">
        <v>1185</v>
      </c>
      <c r="CP281" s="3" t="s">
        <v>1185</v>
      </c>
      <c r="CQ281" s="3" t="s">
        <v>1185</v>
      </c>
      <c r="CR281" s="3" t="s">
        <v>1185</v>
      </c>
      <c r="CS281" s="3" t="s">
        <v>1185</v>
      </c>
      <c r="CT281" s="3"/>
      <c r="CU281" s="3">
        <v>7</v>
      </c>
      <c r="CV281" s="3">
        <v>5</v>
      </c>
      <c r="CW281" s="3">
        <v>9</v>
      </c>
      <c r="CX281" s="3">
        <v>9</v>
      </c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R281" s="3"/>
    </row>
    <row r="282" spans="1:142" ht="15" customHeight="1" x14ac:dyDescent="0.25">
      <c r="A282" s="6" t="s">
        <v>421</v>
      </c>
      <c r="B282" s="2" t="s">
        <v>784</v>
      </c>
      <c r="C282" s="2" t="s">
        <v>1512</v>
      </c>
      <c r="D282" s="25" t="s">
        <v>1183</v>
      </c>
      <c r="E282" s="4" t="s">
        <v>1190</v>
      </c>
      <c r="F282" s="4" t="s">
        <v>859</v>
      </c>
      <c r="G282" s="29"/>
      <c r="H282" s="5"/>
      <c r="I282" s="5"/>
      <c r="J282" s="5"/>
      <c r="M282" s="5"/>
      <c r="N282" s="2" t="s">
        <v>1513</v>
      </c>
      <c r="O282" s="28" t="s">
        <v>2626</v>
      </c>
      <c r="P282" s="3"/>
      <c r="Q282" s="27"/>
      <c r="R282" s="3"/>
      <c r="S282" s="3"/>
      <c r="T282" s="3"/>
      <c r="U282" s="3"/>
      <c r="V282" s="3"/>
      <c r="W282" s="3">
        <v>4</v>
      </c>
      <c r="X282" s="3"/>
      <c r="Z282" s="3"/>
      <c r="AA282" s="3"/>
      <c r="AB282" s="3">
        <v>7</v>
      </c>
      <c r="AC282" s="3">
        <v>7</v>
      </c>
      <c r="AD282" s="3"/>
      <c r="AE282" s="3"/>
      <c r="AF282" s="3">
        <v>1</v>
      </c>
      <c r="AG282" s="3"/>
      <c r="AH282" s="3"/>
      <c r="AI282" s="3"/>
      <c r="AJ282" s="3">
        <v>4</v>
      </c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>
        <v>3</v>
      </c>
      <c r="AY282" s="3"/>
      <c r="AZ282" s="3">
        <v>1</v>
      </c>
      <c r="BA282" s="3"/>
      <c r="BB282" s="3">
        <v>9</v>
      </c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>
        <v>9</v>
      </c>
      <c r="BN282" s="3"/>
      <c r="BO282" s="3"/>
      <c r="BP282" s="3"/>
      <c r="BQ282" s="3">
        <v>5</v>
      </c>
      <c r="BR282" s="3">
        <v>1</v>
      </c>
      <c r="BS282" s="3"/>
      <c r="BT282" s="19">
        <v>1</v>
      </c>
      <c r="BU282" s="3">
        <v>1</v>
      </c>
      <c r="BV282" s="19">
        <v>2</v>
      </c>
      <c r="BW282" s="19">
        <v>3</v>
      </c>
      <c r="BX282" s="19">
        <v>1</v>
      </c>
      <c r="BY282" s="3"/>
      <c r="BZ282" s="19">
        <v>1</v>
      </c>
      <c r="CA282" s="19">
        <v>1</v>
      </c>
      <c r="CB282" s="19">
        <v>1</v>
      </c>
      <c r="CC282" s="19">
        <v>1</v>
      </c>
      <c r="CD282" s="3">
        <v>3</v>
      </c>
      <c r="CE282" s="19">
        <v>1</v>
      </c>
      <c r="CF282" s="19">
        <v>5</v>
      </c>
      <c r="CG282" s="3"/>
      <c r="CH282" s="3">
        <v>2</v>
      </c>
      <c r="CI282" s="3">
        <v>1</v>
      </c>
      <c r="CJ282" s="19">
        <v>1</v>
      </c>
      <c r="CK282" s="19">
        <v>3</v>
      </c>
      <c r="CL282" s="19">
        <v>1</v>
      </c>
      <c r="CM282" s="19">
        <v>3</v>
      </c>
      <c r="CN282" s="3" t="s">
        <v>1185</v>
      </c>
      <c r="CO282" s="3" t="s">
        <v>1185</v>
      </c>
      <c r="CP282" s="3" t="s">
        <v>1185</v>
      </c>
      <c r="CQ282" s="3" t="s">
        <v>1185</v>
      </c>
      <c r="CR282" s="3" t="s">
        <v>1185</v>
      </c>
      <c r="CS282" s="3" t="s">
        <v>1185</v>
      </c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R282" s="3"/>
      <c r="DU282" s="3"/>
      <c r="DV282" s="3"/>
      <c r="DW282" s="3"/>
      <c r="DX282" s="3"/>
      <c r="EA282" s="3"/>
    </row>
    <row r="283" spans="1:142" ht="15" customHeight="1" x14ac:dyDescent="0.25">
      <c r="A283" s="6" t="s">
        <v>422</v>
      </c>
      <c r="B283" s="2" t="s">
        <v>784</v>
      </c>
      <c r="C283" s="2" t="s">
        <v>1514</v>
      </c>
      <c r="D283" s="25" t="s">
        <v>1183</v>
      </c>
      <c r="E283" s="4" t="s">
        <v>1190</v>
      </c>
      <c r="F283" s="4" t="s">
        <v>809</v>
      </c>
      <c r="G283" s="26">
        <v>1983</v>
      </c>
      <c r="H283" s="5"/>
      <c r="I283" s="5"/>
      <c r="J283" s="5"/>
      <c r="M283" s="5"/>
      <c r="N283" s="2" t="s">
        <v>1515</v>
      </c>
      <c r="O283" s="28" t="s">
        <v>2627</v>
      </c>
      <c r="P283" s="3"/>
      <c r="Q283" s="27"/>
      <c r="R283" s="3"/>
      <c r="S283" s="3"/>
      <c r="T283" s="3"/>
      <c r="U283" s="3"/>
      <c r="V283" s="3"/>
      <c r="W283" s="3">
        <v>4</v>
      </c>
      <c r="X283" s="3"/>
      <c r="Z283" s="3"/>
      <c r="AA283" s="3"/>
      <c r="AB283" s="3">
        <v>8</v>
      </c>
      <c r="AC283" s="3">
        <v>7</v>
      </c>
      <c r="AD283" s="3"/>
      <c r="AE283" s="3"/>
      <c r="AF283" s="3">
        <v>1</v>
      </c>
      <c r="AG283" s="3"/>
      <c r="AH283" s="3"/>
      <c r="AI283" s="3"/>
      <c r="AJ283" s="3">
        <v>3</v>
      </c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>
        <v>4</v>
      </c>
      <c r="AY283" s="3"/>
      <c r="AZ283" s="3">
        <v>2</v>
      </c>
      <c r="BA283" s="3"/>
      <c r="BB283" s="3">
        <v>9</v>
      </c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>
        <v>9</v>
      </c>
      <c r="BN283" s="3"/>
      <c r="BO283" s="3"/>
      <c r="BP283" s="3"/>
      <c r="BQ283" s="3">
        <v>8</v>
      </c>
      <c r="BR283" s="3">
        <v>7</v>
      </c>
      <c r="BS283" s="3"/>
      <c r="BT283" s="19">
        <v>9</v>
      </c>
      <c r="BU283" s="3">
        <v>9</v>
      </c>
      <c r="BV283" s="19">
        <v>6</v>
      </c>
      <c r="BW283" s="19">
        <v>9</v>
      </c>
      <c r="BX283" s="19">
        <v>7</v>
      </c>
      <c r="BY283" s="3"/>
      <c r="BZ283" s="19">
        <v>9</v>
      </c>
      <c r="CA283" s="3"/>
      <c r="CB283" s="19">
        <v>8</v>
      </c>
      <c r="CC283" s="19">
        <v>7</v>
      </c>
      <c r="CD283" s="3">
        <v>7</v>
      </c>
      <c r="CE283" s="19">
        <v>8</v>
      </c>
      <c r="CF283" s="19">
        <v>7</v>
      </c>
      <c r="CG283" s="3"/>
      <c r="CH283" s="3">
        <v>9</v>
      </c>
      <c r="CI283" s="3">
        <v>8</v>
      </c>
      <c r="CJ283" s="19">
        <v>7</v>
      </c>
      <c r="CK283" s="19">
        <v>8</v>
      </c>
      <c r="CL283" s="19">
        <v>8</v>
      </c>
      <c r="CM283" s="19">
        <v>4</v>
      </c>
      <c r="CN283" s="3" t="s">
        <v>1185</v>
      </c>
      <c r="CO283" s="3" t="s">
        <v>1185</v>
      </c>
      <c r="CP283" s="3" t="s">
        <v>1185</v>
      </c>
      <c r="CQ283" s="3" t="s">
        <v>1185</v>
      </c>
      <c r="CS283" s="3" t="s">
        <v>1185</v>
      </c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19">
        <v>9</v>
      </c>
      <c r="DR283" s="3"/>
      <c r="EA283" s="3"/>
      <c r="EB283" s="3"/>
      <c r="EC283" s="3"/>
      <c r="ED283" s="3"/>
    </row>
    <row r="284" spans="1:142" ht="15" customHeight="1" x14ac:dyDescent="0.25">
      <c r="A284" s="6" t="s">
        <v>423</v>
      </c>
      <c r="B284" s="2" t="s">
        <v>784</v>
      </c>
      <c r="C284" s="2" t="s">
        <v>1516</v>
      </c>
      <c r="D284" s="25" t="s">
        <v>1183</v>
      </c>
      <c r="E284" s="4" t="s">
        <v>1190</v>
      </c>
      <c r="F284" s="4" t="s">
        <v>809</v>
      </c>
      <c r="G284" s="26">
        <v>1984</v>
      </c>
      <c r="H284" s="5"/>
      <c r="I284" s="5"/>
      <c r="J284" s="5"/>
      <c r="M284" s="5"/>
      <c r="N284" s="2" t="s">
        <v>1517</v>
      </c>
      <c r="O284" s="28" t="s">
        <v>2628</v>
      </c>
      <c r="P284" s="3"/>
      <c r="Q284" s="27"/>
      <c r="R284" s="3"/>
      <c r="S284" s="3"/>
      <c r="T284" s="3"/>
      <c r="U284" s="3"/>
      <c r="V284" s="3"/>
      <c r="W284" s="3">
        <v>4</v>
      </c>
      <c r="X284" s="3"/>
      <c r="Z284" s="3"/>
      <c r="AA284" s="3"/>
      <c r="AB284" s="3">
        <v>8</v>
      </c>
      <c r="AC284" s="3">
        <v>7</v>
      </c>
      <c r="AD284" s="3"/>
      <c r="AE284" s="3"/>
      <c r="AF284" s="3">
        <v>1</v>
      </c>
      <c r="AG284" s="3"/>
      <c r="AH284" s="3"/>
      <c r="AI284" s="3"/>
      <c r="AJ284" s="3">
        <v>4</v>
      </c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>
        <v>3</v>
      </c>
      <c r="AY284" s="3"/>
      <c r="AZ284" s="3">
        <v>2</v>
      </c>
      <c r="BA284" s="3"/>
      <c r="BB284" s="3">
        <v>9</v>
      </c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>
        <v>9</v>
      </c>
      <c r="BN284" s="3"/>
      <c r="BO284" s="3"/>
      <c r="BP284" s="3"/>
      <c r="BQ284" s="3">
        <v>1</v>
      </c>
      <c r="BR284" s="3">
        <v>1</v>
      </c>
      <c r="BS284" s="3"/>
      <c r="BT284" s="19">
        <v>9</v>
      </c>
      <c r="BU284" s="3">
        <v>9</v>
      </c>
      <c r="BV284" s="19">
        <v>1</v>
      </c>
      <c r="BW284" s="19">
        <v>9</v>
      </c>
      <c r="BX284" s="19">
        <v>6</v>
      </c>
      <c r="BY284" s="3"/>
      <c r="BZ284" s="19">
        <v>9</v>
      </c>
      <c r="CA284" s="19">
        <v>8</v>
      </c>
      <c r="CB284" s="19">
        <v>1</v>
      </c>
      <c r="CC284" s="19">
        <v>7</v>
      </c>
      <c r="CD284" s="3">
        <v>9</v>
      </c>
      <c r="CE284" s="3"/>
      <c r="CF284" s="19">
        <v>9</v>
      </c>
      <c r="CG284" s="3"/>
      <c r="CH284" s="3">
        <v>9</v>
      </c>
      <c r="CI284" s="3">
        <v>9</v>
      </c>
      <c r="CJ284" s="19">
        <v>9</v>
      </c>
      <c r="CK284" s="19">
        <v>9</v>
      </c>
      <c r="CL284" s="19">
        <v>9</v>
      </c>
      <c r="CM284" s="19">
        <v>6</v>
      </c>
      <c r="CN284" s="3"/>
      <c r="CO284" s="3" t="s">
        <v>1185</v>
      </c>
      <c r="CP284" s="3"/>
      <c r="CQ284" s="3" t="s">
        <v>1185</v>
      </c>
      <c r="CR284" s="3" t="s">
        <v>1185</v>
      </c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19">
        <v>9</v>
      </c>
      <c r="DR284" s="3"/>
    </row>
    <row r="285" spans="1:142" ht="15" customHeight="1" x14ac:dyDescent="0.25">
      <c r="A285" s="6" t="s">
        <v>424</v>
      </c>
      <c r="B285" s="2" t="s">
        <v>784</v>
      </c>
      <c r="C285" s="2" t="s">
        <v>1518</v>
      </c>
      <c r="D285" s="25" t="s">
        <v>1183</v>
      </c>
      <c r="E285" s="4" t="s">
        <v>1190</v>
      </c>
      <c r="F285" s="4" t="s">
        <v>1222</v>
      </c>
      <c r="G285" s="26">
        <v>1984</v>
      </c>
      <c r="H285" s="5"/>
      <c r="I285" s="5"/>
      <c r="J285" s="5"/>
      <c r="M285" s="5"/>
      <c r="N285" s="2" t="s">
        <v>1519</v>
      </c>
      <c r="O285" s="28" t="s">
        <v>2629</v>
      </c>
      <c r="P285" s="3"/>
      <c r="Q285" s="27"/>
      <c r="R285" s="3"/>
      <c r="S285" s="3"/>
      <c r="T285" s="3"/>
      <c r="U285" s="3"/>
      <c r="V285" s="3"/>
      <c r="W285" s="3">
        <v>4</v>
      </c>
      <c r="X285" s="3"/>
      <c r="Z285" s="3"/>
      <c r="AA285" s="3"/>
      <c r="AB285" s="3">
        <v>8</v>
      </c>
      <c r="AC285" s="3">
        <v>7</v>
      </c>
      <c r="AD285" s="3"/>
      <c r="AE285" s="3"/>
      <c r="AF285" s="3">
        <v>1</v>
      </c>
      <c r="AG285" s="3"/>
      <c r="AH285" s="3"/>
      <c r="AI285" s="3"/>
      <c r="AJ285" s="3">
        <v>5</v>
      </c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>
        <v>5</v>
      </c>
      <c r="AY285" s="3"/>
      <c r="AZ285" s="3">
        <v>1</v>
      </c>
      <c r="BA285" s="3"/>
      <c r="BB285" s="3">
        <v>9</v>
      </c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>
        <v>9</v>
      </c>
      <c r="BN285" s="3"/>
      <c r="BO285" s="3"/>
      <c r="BP285" s="3"/>
      <c r="BQ285" s="3">
        <v>8</v>
      </c>
      <c r="BR285" s="3">
        <v>5</v>
      </c>
      <c r="BS285" s="3"/>
      <c r="BT285" s="19">
        <v>9</v>
      </c>
      <c r="BU285" s="3">
        <v>9</v>
      </c>
      <c r="BV285" s="19">
        <v>6</v>
      </c>
      <c r="BW285" s="19">
        <v>9</v>
      </c>
      <c r="BX285" s="19">
        <v>5</v>
      </c>
      <c r="BY285" s="3"/>
      <c r="BZ285" s="19">
        <v>9</v>
      </c>
      <c r="CA285" s="19">
        <v>9</v>
      </c>
      <c r="CB285" s="19">
        <v>3</v>
      </c>
      <c r="CC285" s="19">
        <v>9</v>
      </c>
      <c r="CD285" s="3">
        <v>7</v>
      </c>
      <c r="CE285" s="3"/>
      <c r="CF285" s="19">
        <v>9</v>
      </c>
      <c r="CG285" s="3"/>
      <c r="CH285" s="3">
        <v>8</v>
      </c>
      <c r="CI285" s="3"/>
      <c r="CJ285" s="19">
        <v>9</v>
      </c>
      <c r="CK285" s="19">
        <v>9</v>
      </c>
      <c r="CL285" s="19">
        <v>9</v>
      </c>
      <c r="CM285" s="19">
        <v>3</v>
      </c>
      <c r="CN285" s="3" t="s">
        <v>1185</v>
      </c>
      <c r="CO285" s="3"/>
      <c r="CP285" s="3"/>
      <c r="CQ285" s="3" t="s">
        <v>1185</v>
      </c>
      <c r="CR285" s="3" t="s">
        <v>1185</v>
      </c>
      <c r="CS285" s="3" t="s">
        <v>1185</v>
      </c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19">
        <v>9</v>
      </c>
      <c r="DR285" s="3"/>
      <c r="DU285" s="3"/>
      <c r="DV285" s="3"/>
      <c r="DW285" s="3"/>
      <c r="DX285" s="3"/>
    </row>
    <row r="286" spans="1:142" ht="15" customHeight="1" x14ac:dyDescent="0.25">
      <c r="A286" s="6" t="s">
        <v>425</v>
      </c>
      <c r="B286" s="2" t="s">
        <v>784</v>
      </c>
      <c r="C286" s="2" t="s">
        <v>1520</v>
      </c>
      <c r="D286" s="25" t="s">
        <v>1183</v>
      </c>
      <c r="E286" s="4" t="s">
        <v>1190</v>
      </c>
      <c r="F286" s="4" t="s">
        <v>1521</v>
      </c>
      <c r="G286" s="26">
        <v>1984</v>
      </c>
      <c r="H286" s="5"/>
      <c r="I286" s="5"/>
      <c r="J286" s="5"/>
      <c r="M286" s="5"/>
      <c r="N286" s="2" t="s">
        <v>1522</v>
      </c>
      <c r="O286" s="28" t="s">
        <v>2630</v>
      </c>
      <c r="P286" s="3"/>
      <c r="Q286" s="27"/>
      <c r="R286" s="3"/>
      <c r="S286" s="3"/>
      <c r="T286" s="3"/>
      <c r="U286" s="3"/>
      <c r="V286" s="3"/>
      <c r="W286" s="3">
        <v>4</v>
      </c>
      <c r="X286" s="3"/>
      <c r="Z286" s="3"/>
      <c r="AA286" s="3"/>
      <c r="AB286" s="3">
        <v>7</v>
      </c>
      <c r="AC286" s="3">
        <v>7</v>
      </c>
      <c r="AD286" s="3"/>
      <c r="AE286" s="3"/>
      <c r="AF286" s="3">
        <v>1</v>
      </c>
      <c r="AG286" s="3"/>
      <c r="AH286" s="3"/>
      <c r="AI286" s="3"/>
      <c r="AJ286" s="3">
        <v>5</v>
      </c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>
        <v>5</v>
      </c>
      <c r="AY286" s="3"/>
      <c r="AZ286" s="3">
        <v>3</v>
      </c>
      <c r="BA286" s="3"/>
      <c r="BB286" s="3">
        <v>9</v>
      </c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>
        <v>9</v>
      </c>
      <c r="BN286" s="3"/>
      <c r="BO286" s="3"/>
      <c r="BP286" s="3"/>
      <c r="BQ286" s="3">
        <v>8</v>
      </c>
      <c r="BR286" s="3">
        <v>9</v>
      </c>
      <c r="BS286" s="3">
        <v>5</v>
      </c>
      <c r="BT286" s="19">
        <v>9</v>
      </c>
      <c r="BU286" s="3">
        <v>3</v>
      </c>
      <c r="BV286" s="19">
        <v>7</v>
      </c>
      <c r="BW286" s="19">
        <v>7</v>
      </c>
      <c r="BX286" s="19">
        <v>8</v>
      </c>
      <c r="BY286" s="3"/>
      <c r="BZ286" s="19">
        <v>7</v>
      </c>
      <c r="CA286" s="19">
        <v>7</v>
      </c>
      <c r="CB286" s="19">
        <v>7</v>
      </c>
      <c r="CC286" s="19">
        <v>7</v>
      </c>
      <c r="CD286" s="3">
        <v>9</v>
      </c>
      <c r="CE286" s="19">
        <v>9</v>
      </c>
      <c r="CF286" s="3"/>
      <c r="CG286" s="3"/>
      <c r="CH286" s="3">
        <v>9</v>
      </c>
      <c r="CI286" s="3">
        <v>9</v>
      </c>
      <c r="CJ286" s="3">
        <v>6</v>
      </c>
      <c r="CK286" s="3">
        <v>7</v>
      </c>
      <c r="CL286" s="3">
        <v>7</v>
      </c>
      <c r="CM286" s="3"/>
      <c r="CN286" s="3" t="s">
        <v>1185</v>
      </c>
      <c r="CO286" s="3"/>
      <c r="CP286" s="3"/>
      <c r="CQ286" s="3" t="s">
        <v>1185</v>
      </c>
      <c r="CS286" s="3" t="s">
        <v>1185</v>
      </c>
      <c r="CT286" s="3"/>
      <c r="CU286" s="3">
        <v>7</v>
      </c>
      <c r="CV286" s="3">
        <v>5</v>
      </c>
      <c r="CW286" s="3">
        <v>9</v>
      </c>
      <c r="CX286" s="3">
        <v>9</v>
      </c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R286" s="3"/>
      <c r="DY286" s="3"/>
      <c r="DZ286" s="3"/>
    </row>
    <row r="287" spans="1:142" ht="15" customHeight="1" x14ac:dyDescent="0.25">
      <c r="A287" s="6" t="s">
        <v>426</v>
      </c>
      <c r="B287" s="2" t="s">
        <v>784</v>
      </c>
      <c r="C287" s="2" t="s">
        <v>1523</v>
      </c>
      <c r="D287" s="25" t="s">
        <v>1183</v>
      </c>
      <c r="E287" s="4" t="s">
        <v>1190</v>
      </c>
      <c r="F287" s="4" t="s">
        <v>845</v>
      </c>
      <c r="G287" s="26">
        <v>1984</v>
      </c>
      <c r="H287" s="5"/>
      <c r="I287" s="5"/>
      <c r="J287" s="5"/>
      <c r="M287" s="5"/>
      <c r="N287" s="2" t="s">
        <v>1524</v>
      </c>
      <c r="O287" s="28" t="s">
        <v>2631</v>
      </c>
      <c r="P287" s="3"/>
      <c r="Q287" s="27"/>
      <c r="R287" s="3"/>
      <c r="S287" s="3"/>
      <c r="T287" s="3"/>
      <c r="U287" s="3"/>
      <c r="V287" s="3"/>
      <c r="W287" s="3">
        <v>4</v>
      </c>
      <c r="X287" s="3"/>
      <c r="Z287" s="3"/>
      <c r="AA287" s="3"/>
      <c r="AB287" s="3">
        <v>7</v>
      </c>
      <c r="AC287" s="3">
        <v>7</v>
      </c>
      <c r="AD287" s="3"/>
      <c r="AE287" s="3"/>
      <c r="AF287" s="3">
        <v>1</v>
      </c>
      <c r="AG287" s="3"/>
      <c r="AH287" s="3"/>
      <c r="AI287" s="3"/>
      <c r="AJ287" s="3">
        <v>5</v>
      </c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>
        <v>3</v>
      </c>
      <c r="AY287" s="3"/>
      <c r="AZ287" s="3">
        <v>2</v>
      </c>
      <c r="BA287" s="3"/>
      <c r="BB287" s="3">
        <v>9</v>
      </c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>
        <v>9</v>
      </c>
      <c r="BN287" s="3"/>
      <c r="BO287" s="3"/>
      <c r="BP287" s="3"/>
      <c r="BQ287" s="3">
        <v>8</v>
      </c>
      <c r="BR287" s="3">
        <v>9</v>
      </c>
      <c r="BS287" s="3">
        <v>9</v>
      </c>
      <c r="BT287" s="19">
        <v>9</v>
      </c>
      <c r="BU287" s="3">
        <v>5</v>
      </c>
      <c r="BV287" s="19">
        <v>7</v>
      </c>
      <c r="BW287" s="19">
        <v>9</v>
      </c>
      <c r="BX287" s="19">
        <v>7</v>
      </c>
      <c r="BY287" s="3"/>
      <c r="BZ287" s="19">
        <v>9</v>
      </c>
      <c r="CA287" s="19">
        <v>8</v>
      </c>
      <c r="CB287" s="19">
        <v>9</v>
      </c>
      <c r="CC287" s="19">
        <v>9</v>
      </c>
      <c r="CD287" s="3">
        <v>9</v>
      </c>
      <c r="CE287" s="19">
        <v>7</v>
      </c>
      <c r="CF287" s="3">
        <v>9</v>
      </c>
      <c r="CG287" s="3"/>
      <c r="CH287" s="3">
        <v>9</v>
      </c>
      <c r="CI287" s="3">
        <v>9</v>
      </c>
      <c r="CJ287" s="3">
        <v>2</v>
      </c>
      <c r="CK287" s="3">
        <v>9</v>
      </c>
      <c r="CL287" s="3">
        <v>9</v>
      </c>
      <c r="CM287" s="3" t="s">
        <v>1185</v>
      </c>
      <c r="CN287" s="3"/>
      <c r="CO287" s="3"/>
      <c r="CP287" s="3"/>
      <c r="CT287" s="3">
        <v>8</v>
      </c>
      <c r="CU287" s="3">
        <v>7</v>
      </c>
      <c r="CV287" s="3">
        <v>7</v>
      </c>
      <c r="CW287" s="3">
        <v>9</v>
      </c>
      <c r="CX287" s="3">
        <v>9</v>
      </c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19">
        <v>9</v>
      </c>
      <c r="DR287" s="3"/>
    </row>
    <row r="288" spans="1:142" ht="15" customHeight="1" x14ac:dyDescent="0.25">
      <c r="A288" s="6" t="s">
        <v>427</v>
      </c>
      <c r="B288" s="2" t="s">
        <v>784</v>
      </c>
      <c r="C288" s="2" t="s">
        <v>1525</v>
      </c>
      <c r="D288" s="25" t="s">
        <v>1183</v>
      </c>
      <c r="E288" s="4" t="s">
        <v>1190</v>
      </c>
      <c r="F288" s="4" t="s">
        <v>1225</v>
      </c>
      <c r="G288" s="29"/>
      <c r="H288" s="5"/>
      <c r="I288" s="5"/>
      <c r="J288" s="5"/>
      <c r="M288" s="5"/>
      <c r="N288" s="2" t="s">
        <v>1526</v>
      </c>
      <c r="O288" s="28" t="s">
        <v>2632</v>
      </c>
      <c r="P288" s="3"/>
      <c r="Q288" s="27"/>
      <c r="R288" s="3"/>
      <c r="S288" s="3"/>
      <c r="T288" s="3"/>
      <c r="U288" s="3"/>
      <c r="V288" s="3"/>
      <c r="W288" s="3">
        <v>4</v>
      </c>
      <c r="X288" s="3"/>
      <c r="Z288" s="3"/>
      <c r="AA288" s="3"/>
      <c r="AB288" s="3">
        <v>8</v>
      </c>
      <c r="AC288" s="3">
        <v>7</v>
      </c>
      <c r="AD288" s="3"/>
      <c r="AE288" s="3"/>
      <c r="AF288" s="3">
        <v>1</v>
      </c>
      <c r="AG288" s="3"/>
      <c r="AH288" s="3"/>
      <c r="AI288" s="3"/>
      <c r="AJ288" s="3">
        <v>4</v>
      </c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>
        <v>5</v>
      </c>
      <c r="AY288" s="3"/>
      <c r="AZ288" s="3">
        <v>1</v>
      </c>
      <c r="BA288" s="3"/>
      <c r="BB288" s="3">
        <v>9</v>
      </c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>
        <v>9</v>
      </c>
      <c r="BN288" s="3"/>
      <c r="BO288" s="3"/>
      <c r="BP288" s="3"/>
      <c r="BQ288" s="3">
        <v>8</v>
      </c>
      <c r="BR288" s="3">
        <v>5</v>
      </c>
      <c r="BS288" s="3"/>
      <c r="BT288" s="19">
        <v>9</v>
      </c>
      <c r="BU288" s="3">
        <v>7</v>
      </c>
      <c r="BV288" s="19">
        <v>6</v>
      </c>
      <c r="BW288" s="19">
        <v>9</v>
      </c>
      <c r="BX288" s="19">
        <v>6</v>
      </c>
      <c r="BY288" s="3"/>
      <c r="BZ288" s="19">
        <v>9</v>
      </c>
      <c r="CA288" s="19">
        <v>7</v>
      </c>
      <c r="CB288" s="3"/>
      <c r="CC288" s="19">
        <v>5</v>
      </c>
      <c r="CD288" s="3">
        <v>7</v>
      </c>
      <c r="CE288" s="19">
        <v>6</v>
      </c>
      <c r="CF288" s="19">
        <v>7</v>
      </c>
      <c r="CG288" s="3"/>
      <c r="CH288" s="3">
        <v>9</v>
      </c>
      <c r="CI288" s="3">
        <v>7</v>
      </c>
      <c r="CJ288" s="19">
        <v>6</v>
      </c>
      <c r="CK288" s="19">
        <v>6</v>
      </c>
      <c r="CL288" s="19">
        <v>8</v>
      </c>
      <c r="CM288" s="19">
        <v>8</v>
      </c>
      <c r="CN288" s="3" t="s">
        <v>1185</v>
      </c>
      <c r="CO288" s="3" t="s">
        <v>1185</v>
      </c>
      <c r="CP288" s="3"/>
      <c r="CQ288" s="3" t="s">
        <v>1185</v>
      </c>
      <c r="CS288" s="3" t="s">
        <v>1185</v>
      </c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R288" s="3">
        <v>9</v>
      </c>
    </row>
    <row r="289" spans="1:142" ht="15" customHeight="1" x14ac:dyDescent="0.25">
      <c r="A289" s="6" t="s">
        <v>428</v>
      </c>
      <c r="B289" s="2" t="s">
        <v>784</v>
      </c>
      <c r="C289" s="2" t="s">
        <v>1527</v>
      </c>
      <c r="D289" s="25" t="s">
        <v>1183</v>
      </c>
      <c r="E289" s="4" t="s">
        <v>1190</v>
      </c>
      <c r="F289" s="4" t="s">
        <v>854</v>
      </c>
      <c r="G289" s="26">
        <v>1986</v>
      </c>
      <c r="H289" s="5"/>
      <c r="I289" s="5"/>
      <c r="J289" s="5"/>
      <c r="M289" s="5"/>
      <c r="N289" s="2" t="s">
        <v>1528</v>
      </c>
      <c r="O289" s="28" t="s">
        <v>2633</v>
      </c>
      <c r="P289" s="3"/>
      <c r="Q289" s="27"/>
      <c r="R289" s="3"/>
      <c r="S289" s="3"/>
      <c r="T289" s="3"/>
      <c r="U289" s="3"/>
      <c r="V289" s="3"/>
      <c r="W289" s="3">
        <v>4</v>
      </c>
      <c r="X289" s="3"/>
      <c r="Z289" s="3"/>
      <c r="AA289" s="3"/>
      <c r="AB289" s="3">
        <v>1</v>
      </c>
      <c r="AC289" s="3">
        <v>7</v>
      </c>
      <c r="AD289" s="3"/>
      <c r="AE289" s="3"/>
      <c r="AF289" s="3">
        <v>1</v>
      </c>
      <c r="AG289" s="3"/>
      <c r="AH289" s="3"/>
      <c r="AI289" s="3"/>
      <c r="AJ289" s="3">
        <v>4</v>
      </c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>
        <v>3</v>
      </c>
      <c r="AY289" s="3"/>
      <c r="AZ289" s="3">
        <v>2</v>
      </c>
      <c r="BA289" s="3"/>
      <c r="BB289" s="3">
        <v>9</v>
      </c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>
        <v>9</v>
      </c>
      <c r="BN289" s="3"/>
      <c r="BO289" s="3"/>
      <c r="BP289" s="3"/>
      <c r="BQ289" s="3"/>
      <c r="BR289" s="3">
        <v>1</v>
      </c>
      <c r="BS289" s="3"/>
      <c r="BT289" s="19">
        <v>1</v>
      </c>
      <c r="BU289" s="3">
        <v>1</v>
      </c>
      <c r="BV289" s="19">
        <v>1</v>
      </c>
      <c r="BW289" s="19">
        <v>3</v>
      </c>
      <c r="BX289" s="19">
        <v>1</v>
      </c>
      <c r="BY289" s="3"/>
      <c r="BZ289" s="19">
        <v>9</v>
      </c>
      <c r="CA289" s="19">
        <v>2</v>
      </c>
      <c r="CB289" s="19">
        <v>1</v>
      </c>
      <c r="CC289" s="3"/>
      <c r="CD289" s="3">
        <v>9</v>
      </c>
      <c r="CE289" s="19">
        <v>1</v>
      </c>
      <c r="CF289" s="19">
        <v>9</v>
      </c>
      <c r="CG289" s="3"/>
      <c r="CH289" s="3">
        <v>8</v>
      </c>
      <c r="CI289" s="3">
        <v>7</v>
      </c>
      <c r="CJ289" s="19">
        <v>1</v>
      </c>
      <c r="CK289" s="19">
        <v>8</v>
      </c>
      <c r="CL289" s="3"/>
      <c r="CM289" s="19">
        <v>7</v>
      </c>
      <c r="CN289" s="3"/>
      <c r="CO289" s="3" t="s">
        <v>1185</v>
      </c>
      <c r="CP289" s="3" t="s">
        <v>1185</v>
      </c>
      <c r="CQ289" s="3" t="s">
        <v>1185</v>
      </c>
      <c r="CR289" s="3" t="s">
        <v>1185</v>
      </c>
      <c r="CS289" s="3" t="s">
        <v>1185</v>
      </c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R289" s="3"/>
    </row>
    <row r="290" spans="1:142" ht="15" customHeight="1" x14ac:dyDescent="0.25">
      <c r="A290" s="6" t="s">
        <v>429</v>
      </c>
      <c r="B290" s="2" t="s">
        <v>784</v>
      </c>
      <c r="C290" s="2" t="s">
        <v>1529</v>
      </c>
      <c r="D290" s="25" t="s">
        <v>1183</v>
      </c>
      <c r="E290" s="4" t="s">
        <v>1190</v>
      </c>
      <c r="F290" s="4" t="s">
        <v>793</v>
      </c>
      <c r="G290" s="29"/>
      <c r="H290" s="5"/>
      <c r="I290" s="5"/>
      <c r="J290" s="5"/>
      <c r="M290" s="5"/>
      <c r="N290" s="2" t="s">
        <v>1530</v>
      </c>
      <c r="O290" s="28" t="s">
        <v>2634</v>
      </c>
      <c r="P290" s="3"/>
      <c r="Q290" s="27"/>
      <c r="R290" s="3"/>
      <c r="S290" s="3"/>
      <c r="T290" s="3"/>
      <c r="U290" s="3"/>
      <c r="V290" s="3"/>
      <c r="W290" s="3">
        <v>4</v>
      </c>
      <c r="X290" s="3"/>
      <c r="Z290" s="3"/>
      <c r="AA290" s="3"/>
      <c r="AB290" s="3">
        <v>1</v>
      </c>
      <c r="AC290" s="3">
        <v>7</v>
      </c>
      <c r="AD290" s="3"/>
      <c r="AE290" s="3"/>
      <c r="AF290" s="3">
        <v>1</v>
      </c>
      <c r="AG290" s="3"/>
      <c r="AH290" s="3"/>
      <c r="AI290" s="3"/>
      <c r="AJ290" s="3">
        <v>4</v>
      </c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>
        <v>3</v>
      </c>
      <c r="AY290" s="3"/>
      <c r="AZ290" s="3">
        <v>2</v>
      </c>
      <c r="BA290" s="3"/>
      <c r="BB290" s="3">
        <v>9</v>
      </c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>
        <v>9</v>
      </c>
      <c r="BN290" s="3"/>
      <c r="BO290" s="3"/>
      <c r="BP290" s="3"/>
      <c r="BQ290" s="3">
        <v>1</v>
      </c>
      <c r="BR290" s="3">
        <v>1</v>
      </c>
      <c r="BS290" s="3"/>
      <c r="BT290" s="19">
        <v>2</v>
      </c>
      <c r="BU290" s="3">
        <v>1</v>
      </c>
      <c r="BV290" s="19">
        <v>1</v>
      </c>
      <c r="BW290" s="19">
        <v>3</v>
      </c>
      <c r="BX290" s="19">
        <v>1</v>
      </c>
      <c r="BY290" s="3"/>
      <c r="BZ290" s="19">
        <v>9</v>
      </c>
      <c r="CA290" s="19">
        <v>2</v>
      </c>
      <c r="CB290" s="19">
        <v>1</v>
      </c>
      <c r="CC290" s="19">
        <v>1</v>
      </c>
      <c r="CD290" s="3">
        <v>7</v>
      </c>
      <c r="CE290" s="19">
        <v>1</v>
      </c>
      <c r="CF290" s="19">
        <v>9</v>
      </c>
      <c r="CG290" s="3"/>
      <c r="CH290" s="3">
        <v>8</v>
      </c>
      <c r="CI290" s="3">
        <v>6</v>
      </c>
      <c r="CJ290" s="19">
        <v>1</v>
      </c>
      <c r="CK290" s="19">
        <v>8</v>
      </c>
      <c r="CL290" s="3"/>
      <c r="CM290" s="19">
        <v>7</v>
      </c>
      <c r="CN290" s="3"/>
      <c r="CO290" s="3" t="s">
        <v>1185</v>
      </c>
      <c r="CP290" s="3" t="s">
        <v>1185</v>
      </c>
      <c r="CQ290" s="3" t="s">
        <v>1185</v>
      </c>
      <c r="CR290" s="3" t="s">
        <v>1185</v>
      </c>
      <c r="CS290" s="3" t="s">
        <v>1185</v>
      </c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19">
        <v>9</v>
      </c>
      <c r="DR290" s="3"/>
      <c r="EB290" s="3"/>
      <c r="EC290" s="3"/>
      <c r="ED290" s="3"/>
    </row>
    <row r="291" spans="1:142" ht="15" customHeight="1" x14ac:dyDescent="0.25">
      <c r="A291" s="6" t="s">
        <v>430</v>
      </c>
      <c r="B291" s="2" t="s">
        <v>784</v>
      </c>
      <c r="C291" s="2" t="s">
        <v>1531</v>
      </c>
      <c r="D291" s="25" t="s">
        <v>1183</v>
      </c>
      <c r="E291" s="4" t="s">
        <v>1190</v>
      </c>
      <c r="F291" s="4" t="s">
        <v>845</v>
      </c>
      <c r="G291" s="29"/>
      <c r="H291" s="5"/>
      <c r="I291" s="5"/>
      <c r="J291" s="5"/>
      <c r="M291" s="5"/>
      <c r="N291" s="2" t="s">
        <v>1532</v>
      </c>
      <c r="O291" s="28" t="s">
        <v>2635</v>
      </c>
      <c r="P291" s="3"/>
      <c r="Q291" s="27"/>
      <c r="R291" s="3"/>
      <c r="S291" s="3"/>
      <c r="T291" s="3"/>
      <c r="U291" s="3"/>
      <c r="V291" s="3"/>
      <c r="W291" s="3">
        <v>4</v>
      </c>
      <c r="X291" s="3"/>
      <c r="Z291" s="3"/>
      <c r="AA291" s="3"/>
      <c r="AB291" s="3"/>
      <c r="AC291" s="3">
        <v>7</v>
      </c>
      <c r="AD291" s="3"/>
      <c r="AE291" s="3"/>
      <c r="AF291" s="3">
        <v>1</v>
      </c>
      <c r="AG291" s="3"/>
      <c r="AH291" s="3"/>
      <c r="AI291" s="3"/>
      <c r="AJ291" s="3">
        <v>4</v>
      </c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>
        <v>3</v>
      </c>
      <c r="AY291" s="3"/>
      <c r="AZ291" s="3">
        <v>1</v>
      </c>
      <c r="BA291" s="3"/>
      <c r="BB291" s="3">
        <v>9</v>
      </c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>
        <v>9</v>
      </c>
      <c r="BN291" s="3"/>
      <c r="BO291" s="3"/>
      <c r="BP291" s="3"/>
      <c r="BQ291" s="3">
        <v>9</v>
      </c>
      <c r="BR291" s="3">
        <v>9</v>
      </c>
      <c r="BS291" s="3">
        <v>5</v>
      </c>
      <c r="BT291" s="19">
        <v>9</v>
      </c>
      <c r="BU291" s="3">
        <v>1</v>
      </c>
      <c r="BV291" s="19">
        <v>7</v>
      </c>
      <c r="BW291" s="19">
        <v>9</v>
      </c>
      <c r="BX291" s="3"/>
      <c r="BY291" s="3"/>
      <c r="BZ291" s="19">
        <v>9</v>
      </c>
      <c r="CA291" s="19">
        <v>8</v>
      </c>
      <c r="CB291" s="19">
        <v>9</v>
      </c>
      <c r="CC291" s="19">
        <v>7</v>
      </c>
      <c r="CD291" s="3">
        <v>9</v>
      </c>
      <c r="CE291" s="19">
        <v>7</v>
      </c>
      <c r="CF291" s="3">
        <v>9</v>
      </c>
      <c r="CG291" s="3"/>
      <c r="CH291" s="3">
        <v>9</v>
      </c>
      <c r="CI291" s="3">
        <v>9</v>
      </c>
      <c r="CJ291" s="3">
        <v>3</v>
      </c>
      <c r="CK291" s="3">
        <v>9</v>
      </c>
      <c r="CL291" s="3">
        <v>9</v>
      </c>
      <c r="CM291" s="3"/>
      <c r="CN291" s="3"/>
      <c r="CO291" s="3"/>
      <c r="CP291" s="3" t="s">
        <v>1185</v>
      </c>
      <c r="CT291" s="3"/>
      <c r="CU291" s="3">
        <v>9</v>
      </c>
      <c r="CV291" s="3">
        <v>5</v>
      </c>
      <c r="CW291" s="3">
        <v>9</v>
      </c>
      <c r="CX291" s="3">
        <v>9</v>
      </c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19">
        <v>9</v>
      </c>
      <c r="DR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</row>
    <row r="292" spans="1:142" ht="15" customHeight="1" x14ac:dyDescent="0.25">
      <c r="A292" s="6" t="s">
        <v>431</v>
      </c>
      <c r="B292" s="2" t="s">
        <v>784</v>
      </c>
      <c r="C292" s="2" t="s">
        <v>1533</v>
      </c>
      <c r="D292" s="25" t="s">
        <v>1183</v>
      </c>
      <c r="E292" s="4" t="s">
        <v>1190</v>
      </c>
      <c r="F292" s="4" t="s">
        <v>1508</v>
      </c>
      <c r="G292" s="26">
        <v>1999</v>
      </c>
      <c r="H292" s="5"/>
      <c r="I292" s="5"/>
      <c r="J292" s="5"/>
      <c r="M292" s="5"/>
      <c r="N292" s="2" t="s">
        <v>1534</v>
      </c>
      <c r="O292" s="28" t="s">
        <v>2636</v>
      </c>
      <c r="P292" s="3"/>
      <c r="Q292" s="27"/>
      <c r="R292" s="3"/>
      <c r="S292" s="3"/>
      <c r="T292" s="3"/>
      <c r="U292" s="3"/>
      <c r="V292" s="3"/>
      <c r="W292" s="3">
        <v>4</v>
      </c>
      <c r="X292" s="3"/>
      <c r="Z292" s="3"/>
      <c r="AA292" s="3"/>
      <c r="AB292" s="3">
        <v>8</v>
      </c>
      <c r="AC292" s="3"/>
      <c r="AD292" s="3"/>
      <c r="AE292" s="3"/>
      <c r="AF292" s="3">
        <v>1</v>
      </c>
      <c r="AG292" s="3"/>
      <c r="AH292" s="3"/>
      <c r="AI292" s="3"/>
      <c r="AJ292" s="3">
        <v>3</v>
      </c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>
        <v>2</v>
      </c>
      <c r="AY292" s="3"/>
      <c r="AZ292" s="3">
        <v>1</v>
      </c>
      <c r="BA292" s="3"/>
      <c r="BB292" s="3">
        <v>9</v>
      </c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>
        <v>9</v>
      </c>
      <c r="BN292" s="3"/>
      <c r="BO292" s="3"/>
      <c r="BP292" s="3"/>
      <c r="BQ292" s="3">
        <v>9</v>
      </c>
      <c r="BR292" s="3">
        <v>9</v>
      </c>
      <c r="BS292" s="3">
        <v>5</v>
      </c>
      <c r="BT292" s="19">
        <v>9</v>
      </c>
      <c r="BU292" s="3">
        <v>1</v>
      </c>
      <c r="BV292" s="19">
        <v>7</v>
      </c>
      <c r="BW292" s="19">
        <v>8</v>
      </c>
      <c r="BX292" s="3"/>
      <c r="BY292" s="3"/>
      <c r="BZ292" s="19">
        <v>8</v>
      </c>
      <c r="CA292" s="19">
        <v>9</v>
      </c>
      <c r="CB292" s="19">
        <v>9</v>
      </c>
      <c r="CC292" s="19">
        <v>8</v>
      </c>
      <c r="CD292" s="3">
        <v>9</v>
      </c>
      <c r="CE292" s="19">
        <v>7</v>
      </c>
      <c r="CF292" s="3">
        <v>9</v>
      </c>
      <c r="CG292" s="3"/>
      <c r="CH292" s="3">
        <v>9</v>
      </c>
      <c r="CI292" s="3">
        <v>9</v>
      </c>
      <c r="CJ292" s="3">
        <v>5</v>
      </c>
      <c r="CK292" s="3">
        <v>9</v>
      </c>
      <c r="CL292" s="3">
        <v>9</v>
      </c>
      <c r="CM292" s="3" t="s">
        <v>1185</v>
      </c>
      <c r="CN292" s="3" t="s">
        <v>1185</v>
      </c>
      <c r="CO292" s="3"/>
      <c r="CP292" s="3" t="s">
        <v>1185</v>
      </c>
      <c r="CQ292" s="3" t="s">
        <v>1185</v>
      </c>
      <c r="CR292" s="3" t="s">
        <v>1185</v>
      </c>
      <c r="CS292" s="3" t="s">
        <v>1185</v>
      </c>
      <c r="CT292" s="3">
        <v>7</v>
      </c>
      <c r="CU292" s="3">
        <v>7</v>
      </c>
      <c r="CV292" s="3">
        <v>7</v>
      </c>
      <c r="CW292" s="3">
        <v>9</v>
      </c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R292" s="3"/>
    </row>
    <row r="293" spans="1:142" ht="15" customHeight="1" x14ac:dyDescent="0.25">
      <c r="A293" s="6" t="s">
        <v>432</v>
      </c>
      <c r="B293" s="2" t="s">
        <v>784</v>
      </c>
      <c r="C293" s="2" t="s">
        <v>1535</v>
      </c>
      <c r="D293" s="25" t="s">
        <v>1183</v>
      </c>
      <c r="E293" s="4" t="s">
        <v>1190</v>
      </c>
      <c r="F293" s="4" t="s">
        <v>1508</v>
      </c>
      <c r="G293" s="26">
        <v>1999</v>
      </c>
      <c r="H293" s="5"/>
      <c r="I293" s="5"/>
      <c r="J293" s="5"/>
      <c r="M293" s="5"/>
      <c r="N293" s="2" t="s">
        <v>1536</v>
      </c>
      <c r="O293" s="28" t="s">
        <v>2637</v>
      </c>
      <c r="P293" s="3"/>
      <c r="Q293" s="27"/>
      <c r="R293" s="3"/>
      <c r="S293" s="3"/>
      <c r="T293" s="3"/>
      <c r="U293" s="3"/>
      <c r="V293" s="3"/>
      <c r="W293" s="3">
        <v>4</v>
      </c>
      <c r="X293" s="3"/>
      <c r="Z293" s="3"/>
      <c r="AA293" s="3"/>
      <c r="AB293" s="3">
        <v>8</v>
      </c>
      <c r="AC293" s="3"/>
      <c r="AD293" s="3"/>
      <c r="AE293" s="3"/>
      <c r="AF293" s="3">
        <v>1</v>
      </c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>
        <v>2</v>
      </c>
      <c r="AY293" s="3"/>
      <c r="AZ293" s="3">
        <v>1</v>
      </c>
      <c r="BA293" s="3"/>
      <c r="BB293" s="3">
        <v>9</v>
      </c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>
        <v>9</v>
      </c>
      <c r="BN293" s="3"/>
      <c r="BO293" s="3"/>
      <c r="BP293" s="3"/>
      <c r="BQ293" s="3">
        <v>9</v>
      </c>
      <c r="BR293" s="3">
        <v>9</v>
      </c>
      <c r="BS293" s="3">
        <v>3</v>
      </c>
      <c r="BT293" s="19">
        <v>9</v>
      </c>
      <c r="BU293" s="3">
        <v>1</v>
      </c>
      <c r="BV293" s="19">
        <v>9</v>
      </c>
      <c r="BW293" s="19">
        <v>9</v>
      </c>
      <c r="BX293" s="19">
        <v>8</v>
      </c>
      <c r="BY293" s="3"/>
      <c r="BZ293" s="19">
        <v>3</v>
      </c>
      <c r="CA293" s="19">
        <v>7</v>
      </c>
      <c r="CB293" s="19">
        <v>9</v>
      </c>
      <c r="CC293" s="19">
        <v>8</v>
      </c>
      <c r="CD293" s="3">
        <v>9</v>
      </c>
      <c r="CE293" s="19">
        <v>9</v>
      </c>
      <c r="CF293" s="3">
        <v>9</v>
      </c>
      <c r="CG293" s="3"/>
      <c r="CH293" s="3">
        <v>9</v>
      </c>
      <c r="CI293" s="3">
        <v>9</v>
      </c>
      <c r="CJ293" s="3">
        <v>3</v>
      </c>
      <c r="CK293" s="3">
        <v>7</v>
      </c>
      <c r="CL293" s="3">
        <v>9</v>
      </c>
      <c r="CM293" s="3"/>
      <c r="CN293" s="3" t="s">
        <v>1185</v>
      </c>
      <c r="CO293" s="3" t="s">
        <v>1185</v>
      </c>
      <c r="CP293" s="3" t="s">
        <v>1185</v>
      </c>
      <c r="CQ293" s="3" t="s">
        <v>1185</v>
      </c>
      <c r="CR293" s="3" t="s">
        <v>1185</v>
      </c>
      <c r="CS293" s="3" t="s">
        <v>1185</v>
      </c>
      <c r="CT293" s="3">
        <v>2</v>
      </c>
      <c r="CU293" s="3">
        <v>7</v>
      </c>
      <c r="CV293" s="3">
        <v>3</v>
      </c>
      <c r="CW293" s="3">
        <v>9</v>
      </c>
      <c r="CX293" s="3">
        <v>9</v>
      </c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R293" s="3"/>
    </row>
    <row r="294" spans="1:142" ht="15" customHeight="1" x14ac:dyDescent="0.25">
      <c r="A294" s="6" t="s">
        <v>433</v>
      </c>
      <c r="B294" s="2" t="s">
        <v>784</v>
      </c>
      <c r="C294" s="2" t="s">
        <v>1537</v>
      </c>
      <c r="D294" s="25" t="s">
        <v>1183</v>
      </c>
      <c r="E294" s="4" t="s">
        <v>1190</v>
      </c>
      <c r="F294" s="4" t="s">
        <v>1508</v>
      </c>
      <c r="G294" s="26">
        <v>1999</v>
      </c>
      <c r="H294" s="5"/>
      <c r="I294" s="5"/>
      <c r="J294" s="5"/>
      <c r="M294" s="5"/>
      <c r="N294" s="2" t="s">
        <v>1538</v>
      </c>
      <c r="O294" s="28" t="s">
        <v>2638</v>
      </c>
      <c r="P294" s="3"/>
      <c r="Q294" s="27"/>
      <c r="R294" s="3"/>
      <c r="S294" s="3"/>
      <c r="T294" s="3"/>
      <c r="U294" s="3"/>
      <c r="V294" s="3"/>
      <c r="W294" s="3">
        <v>4</v>
      </c>
      <c r="X294" s="3"/>
      <c r="Z294" s="3"/>
      <c r="AA294" s="3"/>
      <c r="AB294" s="3">
        <v>8</v>
      </c>
      <c r="AC294" s="3">
        <v>5</v>
      </c>
      <c r="AD294" s="3"/>
      <c r="AE294" s="3"/>
      <c r="AF294" s="3">
        <v>1</v>
      </c>
      <c r="AG294" s="3"/>
      <c r="AH294" s="3"/>
      <c r="AI294" s="3"/>
      <c r="AJ294" s="3">
        <v>5</v>
      </c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>
        <v>3</v>
      </c>
      <c r="AY294" s="3"/>
      <c r="AZ294" s="3">
        <v>1</v>
      </c>
      <c r="BA294" s="3"/>
      <c r="BB294" s="3">
        <v>9</v>
      </c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>
        <v>9</v>
      </c>
      <c r="BN294" s="3"/>
      <c r="BO294" s="3"/>
      <c r="BP294" s="3"/>
      <c r="BQ294" s="3">
        <v>9</v>
      </c>
      <c r="BR294" s="3">
        <v>9</v>
      </c>
      <c r="BS294" s="3">
        <v>9</v>
      </c>
      <c r="BT294" s="19">
        <v>9</v>
      </c>
      <c r="BU294" s="3">
        <v>1</v>
      </c>
      <c r="BV294" s="19">
        <v>8</v>
      </c>
      <c r="BW294" s="19">
        <v>9</v>
      </c>
      <c r="BX294" s="19">
        <v>9</v>
      </c>
      <c r="BY294" s="3"/>
      <c r="BZ294" s="19">
        <v>9</v>
      </c>
      <c r="CA294" s="19">
        <v>9</v>
      </c>
      <c r="CB294" s="19">
        <v>9</v>
      </c>
      <c r="CC294" s="19">
        <v>9</v>
      </c>
      <c r="CD294" s="3">
        <v>9</v>
      </c>
      <c r="CE294" s="19">
        <v>7</v>
      </c>
      <c r="CF294" s="3">
        <v>9</v>
      </c>
      <c r="CG294" s="3"/>
      <c r="CH294" s="3">
        <v>9</v>
      </c>
      <c r="CI294" s="3">
        <v>9</v>
      </c>
      <c r="CJ294" s="3">
        <v>7</v>
      </c>
      <c r="CK294" s="3">
        <v>9</v>
      </c>
      <c r="CL294" s="3">
        <v>9</v>
      </c>
      <c r="CM294" s="3" t="s">
        <v>1185</v>
      </c>
      <c r="CN294" s="3" t="s">
        <v>1185</v>
      </c>
      <c r="CO294" s="3" t="s">
        <v>1185</v>
      </c>
      <c r="CP294" s="3" t="s">
        <v>1185</v>
      </c>
      <c r="CQ294" s="3" t="s">
        <v>1185</v>
      </c>
      <c r="CR294" s="3" t="s">
        <v>1185</v>
      </c>
      <c r="CS294" s="3" t="s">
        <v>1185</v>
      </c>
      <c r="CT294" s="3">
        <v>8</v>
      </c>
      <c r="CU294" s="3">
        <v>9</v>
      </c>
      <c r="CV294" s="3">
        <v>5</v>
      </c>
      <c r="CW294" s="3">
        <v>9</v>
      </c>
      <c r="CX294" s="3">
        <v>9</v>
      </c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R294" s="3"/>
    </row>
    <row r="295" spans="1:142" s="3" customFormat="1" ht="15" customHeight="1" x14ac:dyDescent="0.25">
      <c r="A295" s="6" t="s">
        <v>434</v>
      </c>
      <c r="B295" s="2" t="s">
        <v>784</v>
      </c>
      <c r="C295" s="2" t="s">
        <v>1539</v>
      </c>
      <c r="D295" s="25" t="s">
        <v>1183</v>
      </c>
      <c r="E295" s="4" t="s">
        <v>1190</v>
      </c>
      <c r="F295" s="4" t="s">
        <v>1540</v>
      </c>
      <c r="G295" s="26">
        <v>1999</v>
      </c>
      <c r="H295" s="5"/>
      <c r="I295" s="5"/>
      <c r="J295" s="5"/>
      <c r="K295" s="1"/>
      <c r="L295" s="2"/>
      <c r="M295" s="5"/>
      <c r="N295" s="2" t="s">
        <v>1541</v>
      </c>
      <c r="O295" s="28" t="s">
        <v>2639</v>
      </c>
      <c r="Q295" s="27"/>
      <c r="W295" s="3">
        <v>4</v>
      </c>
      <c r="AB295" s="3">
        <v>8</v>
      </c>
      <c r="AF295" s="3">
        <v>1</v>
      </c>
      <c r="AJ295" s="3">
        <v>5</v>
      </c>
      <c r="AX295" s="3">
        <v>2</v>
      </c>
      <c r="AZ295" s="3">
        <v>1</v>
      </c>
      <c r="BB295" s="3">
        <v>9</v>
      </c>
      <c r="BM295" s="3">
        <v>9</v>
      </c>
      <c r="BQ295" s="3">
        <v>7</v>
      </c>
      <c r="BR295" s="3">
        <v>8</v>
      </c>
      <c r="BS295" s="3">
        <v>1</v>
      </c>
      <c r="BT295" s="19">
        <v>1</v>
      </c>
      <c r="BU295" s="3">
        <v>1</v>
      </c>
      <c r="BV295" s="19">
        <v>8</v>
      </c>
      <c r="BW295" s="19">
        <v>8</v>
      </c>
      <c r="BX295" s="19">
        <v>2</v>
      </c>
      <c r="BZ295" s="19">
        <v>9</v>
      </c>
      <c r="CA295" s="19">
        <v>8</v>
      </c>
      <c r="CB295" s="19">
        <v>9</v>
      </c>
      <c r="CD295" s="3">
        <v>9</v>
      </c>
      <c r="CF295" s="3">
        <v>8</v>
      </c>
      <c r="CI295" s="3">
        <v>8</v>
      </c>
      <c r="CJ295" s="3">
        <v>1</v>
      </c>
      <c r="CK295" s="3">
        <v>7</v>
      </c>
      <c r="CL295" s="3">
        <v>9</v>
      </c>
      <c r="CN295" s="3" t="s">
        <v>1185</v>
      </c>
      <c r="CO295" s="3" t="s">
        <v>1185</v>
      </c>
      <c r="CP295" s="3" t="s">
        <v>1185</v>
      </c>
      <c r="CQ295" s="3" t="s">
        <v>1185</v>
      </c>
      <c r="CR295" s="3" t="s">
        <v>1185</v>
      </c>
      <c r="CT295" s="3">
        <v>1</v>
      </c>
      <c r="CU295" s="3">
        <v>7</v>
      </c>
      <c r="CV295" s="3">
        <v>1</v>
      </c>
      <c r="CW295" s="3">
        <v>9</v>
      </c>
      <c r="CX295" s="3">
        <v>9</v>
      </c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</row>
    <row r="296" spans="1:142" s="3" customFormat="1" ht="15" customHeight="1" x14ac:dyDescent="0.25">
      <c r="A296" s="6" t="s">
        <v>435</v>
      </c>
      <c r="B296" s="2" t="s">
        <v>784</v>
      </c>
      <c r="C296" s="2" t="s">
        <v>1542</v>
      </c>
      <c r="D296" s="25" t="s">
        <v>1183</v>
      </c>
      <c r="E296" s="4" t="s">
        <v>1190</v>
      </c>
      <c r="F296" s="4" t="s">
        <v>1540</v>
      </c>
      <c r="G296" s="26">
        <v>1999</v>
      </c>
      <c r="H296" s="5"/>
      <c r="I296" s="5"/>
      <c r="J296" s="5"/>
      <c r="K296" s="1"/>
      <c r="L296" s="2"/>
      <c r="M296" s="5"/>
      <c r="N296" s="2" t="s">
        <v>1543</v>
      </c>
      <c r="O296" s="28" t="s">
        <v>2640</v>
      </c>
      <c r="Q296" s="27"/>
      <c r="W296" s="3">
        <v>4</v>
      </c>
      <c r="AB296" s="3">
        <v>8</v>
      </c>
      <c r="AC296" s="3">
        <v>5</v>
      </c>
      <c r="AF296" s="3">
        <v>1</v>
      </c>
      <c r="AJ296" s="3">
        <v>5</v>
      </c>
      <c r="AX296" s="3">
        <v>3</v>
      </c>
      <c r="AZ296" s="3">
        <v>1</v>
      </c>
      <c r="BB296" s="3">
        <v>9</v>
      </c>
      <c r="BM296" s="3">
        <v>9</v>
      </c>
      <c r="BQ296" s="3">
        <v>8</v>
      </c>
      <c r="BR296" s="3">
        <v>9</v>
      </c>
      <c r="BS296" s="3">
        <v>5</v>
      </c>
      <c r="BT296" s="19">
        <v>9</v>
      </c>
      <c r="BU296" s="3">
        <v>1</v>
      </c>
      <c r="BV296" s="19">
        <v>8</v>
      </c>
      <c r="BW296" s="19">
        <v>9</v>
      </c>
      <c r="BX296" s="19">
        <v>8</v>
      </c>
      <c r="BZ296" s="19">
        <v>8</v>
      </c>
      <c r="CA296" s="19">
        <v>8</v>
      </c>
      <c r="CB296" s="19">
        <v>9</v>
      </c>
      <c r="CD296" s="3">
        <v>9</v>
      </c>
      <c r="CE296" s="19">
        <v>7</v>
      </c>
      <c r="CF296" s="3">
        <v>9</v>
      </c>
      <c r="CH296" s="3">
        <v>9</v>
      </c>
      <c r="CI296" s="3">
        <v>9</v>
      </c>
      <c r="CJ296" s="3">
        <v>6</v>
      </c>
      <c r="CK296" s="3">
        <v>9</v>
      </c>
      <c r="CL296" s="3">
        <v>9</v>
      </c>
      <c r="CN296" s="3" t="s">
        <v>1185</v>
      </c>
      <c r="CO296" s="3" t="s">
        <v>1185</v>
      </c>
      <c r="CP296" s="3" t="s">
        <v>1185</v>
      </c>
      <c r="CQ296" s="3" t="s">
        <v>1185</v>
      </c>
      <c r="CR296" s="3" t="s">
        <v>1185</v>
      </c>
      <c r="CT296" s="3">
        <v>7</v>
      </c>
      <c r="CU296" s="3">
        <v>7</v>
      </c>
      <c r="CV296" s="3">
        <v>9</v>
      </c>
      <c r="CW296" s="3">
        <v>9</v>
      </c>
      <c r="CX296" s="3">
        <v>9</v>
      </c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</row>
    <row r="297" spans="1:142" s="3" customFormat="1" ht="15" customHeight="1" x14ac:dyDescent="0.25">
      <c r="A297" s="6" t="s">
        <v>436</v>
      </c>
      <c r="B297" s="2" t="s">
        <v>784</v>
      </c>
      <c r="C297" s="2" t="s">
        <v>1544</v>
      </c>
      <c r="D297" s="25" t="s">
        <v>1183</v>
      </c>
      <c r="E297" s="4" t="s">
        <v>1190</v>
      </c>
      <c r="F297" s="4" t="s">
        <v>1540</v>
      </c>
      <c r="G297" s="26">
        <v>1999</v>
      </c>
      <c r="H297" s="5"/>
      <c r="I297" s="5"/>
      <c r="J297" s="5"/>
      <c r="K297" s="1"/>
      <c r="L297" s="2"/>
      <c r="M297" s="5"/>
      <c r="N297" s="2" t="s">
        <v>1545</v>
      </c>
      <c r="O297" s="28" t="s">
        <v>2641</v>
      </c>
      <c r="Q297" s="27"/>
      <c r="W297" s="3">
        <v>4</v>
      </c>
      <c r="AC297" s="3">
        <v>5</v>
      </c>
      <c r="AF297" s="3">
        <v>1</v>
      </c>
      <c r="AJ297" s="3">
        <v>5</v>
      </c>
      <c r="AX297" s="3">
        <v>2</v>
      </c>
      <c r="AZ297" s="3">
        <v>1</v>
      </c>
      <c r="BB297" s="3">
        <v>9</v>
      </c>
      <c r="BM297" s="3">
        <v>9</v>
      </c>
      <c r="BQ297" s="3">
        <v>9</v>
      </c>
      <c r="BR297" s="3">
        <v>9</v>
      </c>
      <c r="BS297" s="3">
        <v>7</v>
      </c>
      <c r="BU297" s="3">
        <v>5</v>
      </c>
      <c r="BV297" s="19">
        <v>8</v>
      </c>
      <c r="BW297" s="19">
        <v>9</v>
      </c>
      <c r="BX297" s="19">
        <v>9</v>
      </c>
      <c r="BZ297" s="19">
        <v>9</v>
      </c>
      <c r="CA297" s="19">
        <v>8</v>
      </c>
      <c r="CB297" s="19">
        <v>9</v>
      </c>
      <c r="CC297" s="19">
        <v>9</v>
      </c>
      <c r="CD297" s="3">
        <v>9</v>
      </c>
      <c r="CE297" s="19">
        <v>7</v>
      </c>
      <c r="CF297" s="3">
        <v>9</v>
      </c>
      <c r="CH297" s="3">
        <v>9</v>
      </c>
      <c r="CI297" s="3">
        <v>9</v>
      </c>
      <c r="CJ297" s="3">
        <v>5</v>
      </c>
      <c r="CK297" s="3">
        <v>9</v>
      </c>
      <c r="CL297" s="3">
        <v>8</v>
      </c>
      <c r="CM297" s="3" t="s">
        <v>1185</v>
      </c>
      <c r="CN297" s="3" t="s">
        <v>1185</v>
      </c>
      <c r="CO297" s="3" t="s">
        <v>1185</v>
      </c>
      <c r="CP297" s="3" t="s">
        <v>1185</v>
      </c>
      <c r="CQ297" s="3" t="s">
        <v>1185</v>
      </c>
      <c r="CR297" s="3" t="s">
        <v>1185</v>
      </c>
      <c r="CS297" s="3" t="s">
        <v>1185</v>
      </c>
      <c r="CT297" s="3">
        <v>5</v>
      </c>
      <c r="CU297" s="3">
        <v>7</v>
      </c>
      <c r="CV297" s="3">
        <v>9</v>
      </c>
      <c r="CW297" s="3">
        <v>9</v>
      </c>
      <c r="CX297" s="3">
        <v>9</v>
      </c>
      <c r="DS297" s="1"/>
      <c r="DT297" s="1"/>
      <c r="DU297" s="1"/>
      <c r="DV297" s="1"/>
      <c r="DW297" s="1"/>
      <c r="DX297" s="1"/>
      <c r="DY297" s="1"/>
      <c r="DZ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</row>
    <row r="298" spans="1:142" s="3" customFormat="1" ht="15" customHeight="1" x14ac:dyDescent="0.25">
      <c r="A298" s="6" t="s">
        <v>437</v>
      </c>
      <c r="B298" s="2" t="s">
        <v>784</v>
      </c>
      <c r="C298" s="2" t="s">
        <v>1546</v>
      </c>
      <c r="D298" s="25" t="s">
        <v>1183</v>
      </c>
      <c r="E298" s="4" t="s">
        <v>1190</v>
      </c>
      <c r="F298" s="4" t="s">
        <v>1540</v>
      </c>
      <c r="G298" s="26">
        <v>1999</v>
      </c>
      <c r="H298" s="5"/>
      <c r="I298" s="5"/>
      <c r="J298" s="5"/>
      <c r="K298" s="1"/>
      <c r="L298" s="2"/>
      <c r="M298" s="5"/>
      <c r="N298" s="2" t="s">
        <v>1547</v>
      </c>
      <c r="O298" s="28" t="s">
        <v>2642</v>
      </c>
      <c r="Q298" s="27"/>
      <c r="W298" s="3">
        <v>4</v>
      </c>
      <c r="AB298" s="3">
        <v>8</v>
      </c>
      <c r="AC298" s="3">
        <v>5</v>
      </c>
      <c r="AF298" s="3">
        <v>1</v>
      </c>
      <c r="AJ298" s="3">
        <v>8</v>
      </c>
      <c r="AX298" s="3">
        <v>2</v>
      </c>
      <c r="AZ298" s="3">
        <v>1</v>
      </c>
      <c r="BB298" s="3">
        <v>9</v>
      </c>
      <c r="BM298" s="3">
        <v>9</v>
      </c>
      <c r="BQ298" s="3">
        <v>1</v>
      </c>
      <c r="BR298" s="3">
        <v>9</v>
      </c>
      <c r="BS298" s="3">
        <v>1</v>
      </c>
      <c r="BT298" s="19">
        <v>1</v>
      </c>
      <c r="BU298" s="3">
        <v>1</v>
      </c>
      <c r="BV298" s="19">
        <v>1</v>
      </c>
      <c r="BX298" s="19">
        <v>9</v>
      </c>
      <c r="BZ298" s="19">
        <v>1</v>
      </c>
      <c r="CA298" s="19">
        <v>9</v>
      </c>
      <c r="CB298" s="19">
        <v>9</v>
      </c>
      <c r="CC298" s="19">
        <v>8</v>
      </c>
      <c r="CD298" s="3">
        <v>9</v>
      </c>
      <c r="CE298" s="19">
        <v>1</v>
      </c>
      <c r="CF298" s="3">
        <v>1</v>
      </c>
      <c r="CH298" s="3">
        <v>9</v>
      </c>
      <c r="CI298" s="3">
        <v>9</v>
      </c>
      <c r="CJ298" s="3">
        <v>1</v>
      </c>
      <c r="CK298" s="3">
        <v>9</v>
      </c>
      <c r="CL298" s="3">
        <v>1</v>
      </c>
      <c r="CM298" s="3" t="s">
        <v>1185</v>
      </c>
      <c r="CO298" s="3" t="s">
        <v>1185</v>
      </c>
      <c r="CP298" s="3" t="s">
        <v>1185</v>
      </c>
      <c r="CQ298" s="3" t="s">
        <v>1185</v>
      </c>
      <c r="CR298" s="3" t="s">
        <v>1185</v>
      </c>
      <c r="CS298" s="3" t="s">
        <v>1185</v>
      </c>
      <c r="CT298" s="3">
        <v>2</v>
      </c>
      <c r="CU298" s="3">
        <v>9</v>
      </c>
      <c r="CV298" s="3">
        <v>9</v>
      </c>
      <c r="CX298" s="3">
        <v>9</v>
      </c>
      <c r="DS298" s="1"/>
      <c r="DT298" s="1"/>
      <c r="DU298" s="1"/>
      <c r="DV298" s="1"/>
      <c r="DW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</row>
    <row r="299" spans="1:142" s="3" customFormat="1" ht="15" customHeight="1" x14ac:dyDescent="0.25">
      <c r="A299" s="6" t="s">
        <v>438</v>
      </c>
      <c r="B299" s="2" t="s">
        <v>784</v>
      </c>
      <c r="C299" s="2" t="s">
        <v>1548</v>
      </c>
      <c r="D299" s="25" t="s">
        <v>1183</v>
      </c>
      <c r="E299" s="4" t="s">
        <v>1190</v>
      </c>
      <c r="F299" s="4" t="s">
        <v>1508</v>
      </c>
      <c r="G299" s="26">
        <v>1999</v>
      </c>
      <c r="H299" s="5"/>
      <c r="I299" s="5"/>
      <c r="J299" s="5"/>
      <c r="K299" s="1"/>
      <c r="L299" s="2"/>
      <c r="M299" s="5"/>
      <c r="N299" s="2" t="s">
        <v>1549</v>
      </c>
      <c r="O299" s="28" t="s">
        <v>2643</v>
      </c>
      <c r="Q299" s="27"/>
      <c r="W299" s="3">
        <v>4</v>
      </c>
      <c r="AB299" s="3">
        <v>8</v>
      </c>
      <c r="AC299" s="3">
        <v>5</v>
      </c>
      <c r="AF299" s="3">
        <v>1</v>
      </c>
      <c r="AX299" s="3">
        <v>2</v>
      </c>
      <c r="AZ299" s="3">
        <v>1</v>
      </c>
      <c r="BB299" s="3">
        <v>9</v>
      </c>
      <c r="BM299" s="3">
        <v>9</v>
      </c>
      <c r="BQ299" s="3">
        <v>9</v>
      </c>
      <c r="BR299" s="3">
        <v>9</v>
      </c>
      <c r="BS299" s="3">
        <v>1</v>
      </c>
      <c r="BT299" s="19">
        <v>9</v>
      </c>
      <c r="BU299" s="3">
        <v>1</v>
      </c>
      <c r="BV299" s="19">
        <v>8</v>
      </c>
      <c r="BW299" s="19">
        <v>9</v>
      </c>
      <c r="BX299" s="19">
        <v>8</v>
      </c>
      <c r="BZ299" s="19">
        <v>2</v>
      </c>
      <c r="CA299" s="19">
        <v>7</v>
      </c>
      <c r="CB299" s="19">
        <v>9</v>
      </c>
      <c r="CC299" s="19">
        <v>8</v>
      </c>
      <c r="CD299" s="3">
        <v>9</v>
      </c>
      <c r="CE299" s="19">
        <v>9</v>
      </c>
      <c r="CF299" s="3">
        <v>9</v>
      </c>
      <c r="CH299" s="3">
        <v>9</v>
      </c>
      <c r="CI299" s="3">
        <v>9</v>
      </c>
      <c r="CJ299" s="3">
        <v>5</v>
      </c>
      <c r="CK299" s="3">
        <v>9</v>
      </c>
      <c r="CL299" s="3">
        <v>9</v>
      </c>
      <c r="CM299" s="3" t="s">
        <v>1185</v>
      </c>
      <c r="CO299" s="3" t="s">
        <v>1185</v>
      </c>
      <c r="CP299" s="3" t="s">
        <v>1185</v>
      </c>
      <c r="CQ299" s="3" t="s">
        <v>1185</v>
      </c>
      <c r="CR299" s="3" t="s">
        <v>1185</v>
      </c>
      <c r="CS299" s="3" t="s">
        <v>1185</v>
      </c>
      <c r="CT299" s="3">
        <v>1</v>
      </c>
      <c r="CU299" s="3">
        <v>7</v>
      </c>
      <c r="CV299" s="3">
        <v>9</v>
      </c>
      <c r="CW299" s="3">
        <v>9</v>
      </c>
      <c r="CX299" s="3">
        <v>9</v>
      </c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</row>
    <row r="300" spans="1:142" s="3" customFormat="1" ht="15" customHeight="1" x14ac:dyDescent="0.25">
      <c r="A300" s="6" t="s">
        <v>439</v>
      </c>
      <c r="B300" s="2" t="s">
        <v>784</v>
      </c>
      <c r="C300" s="2" t="s">
        <v>1550</v>
      </c>
      <c r="D300" s="25" t="s">
        <v>1183</v>
      </c>
      <c r="E300" s="4" t="s">
        <v>1190</v>
      </c>
      <c r="F300" s="4" t="s">
        <v>1419</v>
      </c>
      <c r="G300" s="26">
        <v>1999</v>
      </c>
      <c r="H300" s="5"/>
      <c r="I300" s="5"/>
      <c r="J300" s="5"/>
      <c r="L300" s="2"/>
      <c r="M300" s="5"/>
      <c r="N300" s="2" t="s">
        <v>1551</v>
      </c>
      <c r="O300" s="28" t="s">
        <v>2644</v>
      </c>
      <c r="Q300" s="27"/>
      <c r="AB300" s="3">
        <v>8</v>
      </c>
      <c r="AC300" s="3">
        <v>8</v>
      </c>
      <c r="AJ300" s="3">
        <v>3</v>
      </c>
      <c r="AX300" s="3">
        <v>2</v>
      </c>
      <c r="AZ300" s="3">
        <v>3</v>
      </c>
      <c r="BB300" s="3">
        <v>9</v>
      </c>
      <c r="BM300" s="3">
        <v>9</v>
      </c>
      <c r="BR300" s="3">
        <v>7</v>
      </c>
      <c r="BT300" s="19">
        <v>9</v>
      </c>
      <c r="BU300" s="3">
        <v>9</v>
      </c>
      <c r="BV300" s="19">
        <v>6</v>
      </c>
      <c r="BW300" s="19">
        <v>9</v>
      </c>
      <c r="BX300" s="19">
        <v>5</v>
      </c>
      <c r="BZ300" s="19">
        <v>9</v>
      </c>
      <c r="CA300" s="19">
        <v>7</v>
      </c>
      <c r="CB300" s="19">
        <v>7</v>
      </c>
      <c r="CC300" s="19">
        <v>3</v>
      </c>
      <c r="CD300" s="3">
        <v>9</v>
      </c>
      <c r="CE300" s="19">
        <v>1</v>
      </c>
      <c r="CF300" s="19">
        <v>3</v>
      </c>
      <c r="CH300" s="3">
        <v>4</v>
      </c>
      <c r="CI300" s="3">
        <v>2</v>
      </c>
      <c r="CJ300" s="19">
        <v>6</v>
      </c>
      <c r="CK300" s="19">
        <v>9</v>
      </c>
      <c r="CL300" s="19">
        <v>3</v>
      </c>
      <c r="CM300" s="3" t="s">
        <v>1185</v>
      </c>
      <c r="CN300" s="3" t="s">
        <v>1185</v>
      </c>
      <c r="CP300" s="3" t="s">
        <v>1185</v>
      </c>
      <c r="CQ300" s="3" t="s">
        <v>1185</v>
      </c>
      <c r="CR300" s="3" t="s">
        <v>1185</v>
      </c>
      <c r="DQ300" s="19">
        <v>1</v>
      </c>
      <c r="DU300" s="1"/>
      <c r="DV300" s="1"/>
      <c r="DW300" s="1"/>
      <c r="DX300" s="1"/>
      <c r="EB300" s="1"/>
      <c r="EC300" s="1"/>
      <c r="ED300" s="1"/>
    </row>
    <row r="301" spans="1:142" s="3" customFormat="1" ht="15" customHeight="1" x14ac:dyDescent="0.25">
      <c r="A301" s="6" t="s">
        <v>440</v>
      </c>
      <c r="B301" s="2" t="s">
        <v>784</v>
      </c>
      <c r="C301" s="2" t="s">
        <v>1552</v>
      </c>
      <c r="D301" s="25" t="s">
        <v>1183</v>
      </c>
      <c r="E301" s="4" t="s">
        <v>1190</v>
      </c>
      <c r="F301" s="4" t="s">
        <v>1419</v>
      </c>
      <c r="G301" s="26">
        <v>1999</v>
      </c>
      <c r="H301" s="5"/>
      <c r="I301" s="5"/>
      <c r="J301" s="5"/>
      <c r="L301" s="2"/>
      <c r="M301" s="5"/>
      <c r="N301" s="2" t="s">
        <v>1553</v>
      </c>
      <c r="O301" s="28" t="s">
        <v>2645</v>
      </c>
      <c r="Q301" s="27"/>
      <c r="W301" s="3">
        <v>4</v>
      </c>
      <c r="AB301" s="3">
        <v>8</v>
      </c>
      <c r="AJ301" s="3">
        <v>5</v>
      </c>
      <c r="AX301" s="3">
        <v>3</v>
      </c>
      <c r="AZ301" s="3">
        <v>4</v>
      </c>
      <c r="BB301" s="3">
        <v>9</v>
      </c>
      <c r="BM301" s="3">
        <v>9</v>
      </c>
      <c r="BQ301" s="3">
        <v>5</v>
      </c>
      <c r="BR301" s="3">
        <v>5</v>
      </c>
      <c r="BT301" s="19">
        <v>4</v>
      </c>
      <c r="BU301" s="3">
        <v>7</v>
      </c>
      <c r="BV301" s="19">
        <v>5</v>
      </c>
      <c r="BW301" s="19">
        <v>5</v>
      </c>
      <c r="BX301" s="19">
        <v>3</v>
      </c>
      <c r="BZ301" s="19">
        <v>5</v>
      </c>
      <c r="CA301" s="19">
        <v>6</v>
      </c>
      <c r="CB301" s="19">
        <v>4</v>
      </c>
      <c r="CC301" s="19">
        <v>5</v>
      </c>
      <c r="CD301" s="3">
        <v>5</v>
      </c>
      <c r="CE301" s="19">
        <v>2</v>
      </c>
      <c r="CF301" s="19">
        <v>5</v>
      </c>
      <c r="CH301" s="3">
        <v>8</v>
      </c>
      <c r="CI301" s="3">
        <v>9</v>
      </c>
      <c r="CJ301" s="19">
        <v>6</v>
      </c>
      <c r="CK301" s="19">
        <v>5</v>
      </c>
      <c r="CL301" s="19">
        <v>3</v>
      </c>
      <c r="CM301" s="19">
        <v>7</v>
      </c>
      <c r="CN301" s="3" t="s">
        <v>1185</v>
      </c>
      <c r="CO301" s="3" t="s">
        <v>1185</v>
      </c>
      <c r="CP301" s="3" t="s">
        <v>1185</v>
      </c>
      <c r="CQ301" s="3" t="s">
        <v>1185</v>
      </c>
      <c r="CR301" s="3" t="s">
        <v>1185</v>
      </c>
      <c r="DQ301" s="19">
        <v>9</v>
      </c>
      <c r="DU301" s="1"/>
      <c r="DV301" s="1"/>
      <c r="DW301" s="1"/>
      <c r="DX301" s="1"/>
      <c r="DY301" s="1"/>
      <c r="DZ301" s="1"/>
      <c r="EA301" s="1"/>
    </row>
    <row r="302" spans="1:142" s="3" customFormat="1" ht="15" customHeight="1" x14ac:dyDescent="0.25">
      <c r="A302" s="6" t="s">
        <v>441</v>
      </c>
      <c r="B302" s="2" t="s">
        <v>784</v>
      </c>
      <c r="C302" s="2" t="s">
        <v>1554</v>
      </c>
      <c r="D302" s="25" t="s">
        <v>1183</v>
      </c>
      <c r="E302" s="4" t="s">
        <v>1190</v>
      </c>
      <c r="F302" s="4" t="s">
        <v>1074</v>
      </c>
      <c r="G302" s="26">
        <v>1999</v>
      </c>
      <c r="H302" s="5"/>
      <c r="I302" s="5"/>
      <c r="J302" s="5"/>
      <c r="L302" s="2"/>
      <c r="M302" s="5"/>
      <c r="N302" s="2" t="s">
        <v>1555</v>
      </c>
      <c r="O302" s="28" t="s">
        <v>2646</v>
      </c>
      <c r="Q302" s="27"/>
      <c r="W302" s="3">
        <v>5</v>
      </c>
      <c r="AB302" s="3">
        <v>8</v>
      </c>
      <c r="AC302" s="3">
        <v>7</v>
      </c>
      <c r="AJ302" s="3">
        <v>5</v>
      </c>
      <c r="AX302" s="3">
        <v>2</v>
      </c>
      <c r="AZ302" s="3">
        <v>8</v>
      </c>
      <c r="BB302" s="3">
        <v>9</v>
      </c>
      <c r="BM302" s="3">
        <v>9</v>
      </c>
      <c r="BQ302" s="3">
        <v>8</v>
      </c>
      <c r="BR302" s="3">
        <v>9</v>
      </c>
      <c r="BT302" s="19">
        <v>9</v>
      </c>
      <c r="BU302" s="3">
        <v>7</v>
      </c>
      <c r="BV302" s="19">
        <v>7</v>
      </c>
      <c r="BW302" s="19">
        <v>9</v>
      </c>
      <c r="BX302" s="19">
        <v>8</v>
      </c>
      <c r="BZ302" s="19">
        <v>9</v>
      </c>
      <c r="CA302" s="19">
        <v>5</v>
      </c>
      <c r="CB302" s="19">
        <v>8</v>
      </c>
      <c r="CC302" s="19">
        <v>7</v>
      </c>
      <c r="CD302" s="3">
        <v>5</v>
      </c>
      <c r="CE302" s="19">
        <v>6</v>
      </c>
      <c r="CF302" s="19">
        <v>7</v>
      </c>
      <c r="CH302" s="3">
        <v>9</v>
      </c>
      <c r="CI302" s="3">
        <v>9</v>
      </c>
      <c r="CJ302" s="19">
        <v>7</v>
      </c>
      <c r="CK302" s="19">
        <v>6</v>
      </c>
      <c r="CL302" s="19">
        <v>9</v>
      </c>
      <c r="CM302" s="19">
        <v>7</v>
      </c>
      <c r="CN302" s="3" t="s">
        <v>1185</v>
      </c>
      <c r="CO302" s="3" t="s">
        <v>1185</v>
      </c>
      <c r="CP302" s="3" t="s">
        <v>1185</v>
      </c>
      <c r="CQ302" s="3" t="s">
        <v>1185</v>
      </c>
      <c r="CR302" s="3" t="s">
        <v>1185</v>
      </c>
      <c r="CS302" s="3" t="s">
        <v>1185</v>
      </c>
      <c r="DR302" s="3">
        <v>1</v>
      </c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</row>
    <row r="303" spans="1:142" s="3" customFormat="1" ht="15" customHeight="1" x14ac:dyDescent="0.25">
      <c r="A303" s="6" t="s">
        <v>442</v>
      </c>
      <c r="B303" s="2" t="s">
        <v>784</v>
      </c>
      <c r="C303" s="2" t="s">
        <v>1556</v>
      </c>
      <c r="D303" s="25" t="s">
        <v>1183</v>
      </c>
      <c r="E303" s="4" t="s">
        <v>1190</v>
      </c>
      <c r="F303" s="4" t="s">
        <v>1074</v>
      </c>
      <c r="G303" s="26">
        <v>1999</v>
      </c>
      <c r="H303" s="5"/>
      <c r="I303" s="5"/>
      <c r="J303" s="5"/>
      <c r="L303" s="2"/>
      <c r="M303" s="5"/>
      <c r="N303" s="2" t="s">
        <v>1557</v>
      </c>
      <c r="O303" s="28" t="s">
        <v>2647</v>
      </c>
      <c r="Q303" s="27"/>
      <c r="W303" s="3">
        <v>4</v>
      </c>
      <c r="AB303" s="3">
        <v>7</v>
      </c>
      <c r="AC303" s="3">
        <v>7</v>
      </c>
      <c r="AJ303" s="3">
        <v>7</v>
      </c>
      <c r="AX303" s="3">
        <v>4</v>
      </c>
      <c r="AZ303" s="3">
        <v>5</v>
      </c>
      <c r="BB303" s="3">
        <v>9</v>
      </c>
      <c r="BM303" s="3">
        <v>9</v>
      </c>
      <c r="BQ303" s="3">
        <v>9</v>
      </c>
      <c r="BR303" s="3">
        <v>9</v>
      </c>
      <c r="BT303" s="19">
        <v>9</v>
      </c>
      <c r="BU303" s="3">
        <v>9</v>
      </c>
      <c r="BV303" s="19">
        <v>7</v>
      </c>
      <c r="BW303" s="19">
        <v>9</v>
      </c>
      <c r="BX303" s="19">
        <v>8</v>
      </c>
      <c r="BZ303" s="19">
        <v>9</v>
      </c>
      <c r="CA303" s="19">
        <v>9</v>
      </c>
      <c r="CB303" s="19">
        <v>7</v>
      </c>
      <c r="CC303" s="19">
        <v>7</v>
      </c>
      <c r="CD303" s="3">
        <v>5</v>
      </c>
      <c r="CE303" s="19">
        <v>3</v>
      </c>
      <c r="CF303" s="19">
        <v>9</v>
      </c>
      <c r="CH303" s="3">
        <v>9</v>
      </c>
      <c r="CI303" s="3">
        <v>9</v>
      </c>
      <c r="CJ303" s="19">
        <v>9</v>
      </c>
      <c r="CK303" s="19">
        <v>5</v>
      </c>
      <c r="CL303" s="19">
        <v>9</v>
      </c>
      <c r="CM303" s="19">
        <v>8</v>
      </c>
      <c r="CO303" s="3" t="s">
        <v>1185</v>
      </c>
      <c r="CP303" s="3" t="s">
        <v>1185</v>
      </c>
      <c r="CQ303" s="3" t="s">
        <v>1185</v>
      </c>
      <c r="CR303" s="3" t="s">
        <v>1185</v>
      </c>
      <c r="CS303" s="3" t="s">
        <v>1185</v>
      </c>
      <c r="DR303" s="3">
        <v>9</v>
      </c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</row>
    <row r="304" spans="1:142" s="3" customFormat="1" ht="15" customHeight="1" x14ac:dyDescent="0.25">
      <c r="A304" s="6" t="s">
        <v>443</v>
      </c>
      <c r="B304" s="2" t="s">
        <v>784</v>
      </c>
      <c r="C304" s="2" t="s">
        <v>1558</v>
      </c>
      <c r="D304" s="25" t="s">
        <v>1183</v>
      </c>
      <c r="E304" s="4" t="s">
        <v>1190</v>
      </c>
      <c r="F304" s="4" t="s">
        <v>1074</v>
      </c>
      <c r="G304" s="26">
        <v>1999</v>
      </c>
      <c r="H304" s="5"/>
      <c r="I304" s="5"/>
      <c r="J304" s="5"/>
      <c r="L304" s="2"/>
      <c r="M304" s="5"/>
      <c r="N304" s="2" t="s">
        <v>1559</v>
      </c>
      <c r="O304" s="28" t="s">
        <v>2648</v>
      </c>
      <c r="Q304" s="27"/>
      <c r="W304" s="3">
        <v>4</v>
      </c>
      <c r="AB304" s="3">
        <v>8</v>
      </c>
      <c r="AC304" s="3">
        <v>6</v>
      </c>
      <c r="AJ304" s="3">
        <v>1</v>
      </c>
      <c r="AX304" s="3">
        <v>2</v>
      </c>
      <c r="AZ304" s="3">
        <v>1</v>
      </c>
      <c r="BB304" s="3">
        <v>9</v>
      </c>
      <c r="BM304" s="3">
        <v>9</v>
      </c>
      <c r="BQ304" s="3">
        <v>8</v>
      </c>
      <c r="BR304" s="3">
        <v>9</v>
      </c>
      <c r="BT304" s="19">
        <v>8</v>
      </c>
      <c r="BU304" s="3">
        <v>9</v>
      </c>
      <c r="BV304" s="19">
        <v>6</v>
      </c>
      <c r="BW304" s="19">
        <v>9</v>
      </c>
      <c r="BX304" s="19">
        <v>7</v>
      </c>
      <c r="BZ304" s="19">
        <v>9</v>
      </c>
      <c r="CA304" s="19">
        <v>9</v>
      </c>
      <c r="CB304" s="19">
        <v>9</v>
      </c>
      <c r="CC304" s="19">
        <v>7</v>
      </c>
      <c r="CD304" s="3">
        <v>9</v>
      </c>
      <c r="CE304" s="19">
        <v>2</v>
      </c>
      <c r="CF304" s="19">
        <v>7</v>
      </c>
      <c r="CH304" s="3">
        <v>9</v>
      </c>
      <c r="CI304" s="3">
        <v>5</v>
      </c>
      <c r="CJ304" s="19">
        <v>9</v>
      </c>
      <c r="CK304" s="19">
        <v>9</v>
      </c>
      <c r="CL304" s="19">
        <v>7</v>
      </c>
      <c r="CM304" s="3" t="s">
        <v>1185</v>
      </c>
      <c r="CN304" s="3" t="s">
        <v>1185</v>
      </c>
      <c r="CO304" s="3" t="s">
        <v>1185</v>
      </c>
      <c r="CP304" s="3" t="s">
        <v>1185</v>
      </c>
      <c r="CR304" s="3" t="s">
        <v>1185</v>
      </c>
      <c r="DR304" s="3">
        <v>9</v>
      </c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</row>
    <row r="305" spans="1:142" s="3" customFormat="1" ht="15" customHeight="1" x14ac:dyDescent="0.25">
      <c r="A305" s="6" t="s">
        <v>444</v>
      </c>
      <c r="B305" s="2" t="s">
        <v>784</v>
      </c>
      <c r="C305" s="2" t="s">
        <v>1560</v>
      </c>
      <c r="D305" s="25" t="s">
        <v>1183</v>
      </c>
      <c r="E305" s="4" t="s">
        <v>1190</v>
      </c>
      <c r="F305" s="4" t="s">
        <v>1320</v>
      </c>
      <c r="G305" s="29"/>
      <c r="H305" s="5"/>
      <c r="I305" s="5"/>
      <c r="J305" s="5"/>
      <c r="L305" s="2"/>
      <c r="M305" s="5"/>
      <c r="N305" s="2" t="s">
        <v>1561</v>
      </c>
      <c r="O305" s="28" t="s">
        <v>2649</v>
      </c>
      <c r="Q305" s="27"/>
      <c r="W305" s="3">
        <v>4</v>
      </c>
      <c r="AB305" s="3">
        <v>7</v>
      </c>
      <c r="AC305" s="3">
        <v>5</v>
      </c>
      <c r="AJ305" s="3">
        <v>5</v>
      </c>
      <c r="AX305" s="3">
        <v>5</v>
      </c>
      <c r="AZ305" s="3">
        <v>5</v>
      </c>
      <c r="BB305" s="3">
        <v>9</v>
      </c>
      <c r="BM305" s="3">
        <v>9</v>
      </c>
      <c r="BQ305" s="3">
        <v>9</v>
      </c>
      <c r="BR305" s="3">
        <v>9</v>
      </c>
      <c r="BT305" s="19">
        <v>7</v>
      </c>
      <c r="BU305" s="3">
        <v>9</v>
      </c>
      <c r="BV305" s="19">
        <v>9</v>
      </c>
      <c r="BW305" s="19">
        <v>9</v>
      </c>
      <c r="BX305" s="19">
        <v>9</v>
      </c>
      <c r="BZ305" s="19">
        <v>9</v>
      </c>
      <c r="CA305" s="19">
        <v>7</v>
      </c>
      <c r="CB305" s="19">
        <v>8</v>
      </c>
      <c r="CC305" s="19">
        <v>7</v>
      </c>
      <c r="CD305" s="3">
        <v>9</v>
      </c>
      <c r="CE305" s="19">
        <v>7</v>
      </c>
      <c r="CF305" s="19">
        <v>9</v>
      </c>
      <c r="CH305" s="3">
        <v>9</v>
      </c>
      <c r="CI305" s="3">
        <v>7</v>
      </c>
      <c r="CJ305" s="19">
        <v>9</v>
      </c>
      <c r="CK305" s="19">
        <v>8</v>
      </c>
      <c r="CM305" s="19">
        <v>9</v>
      </c>
      <c r="CN305" s="3" t="s">
        <v>1185</v>
      </c>
      <c r="CQ305" s="3" t="s">
        <v>1185</v>
      </c>
      <c r="DQ305" s="19">
        <v>9</v>
      </c>
      <c r="DU305" s="1"/>
      <c r="DV305" s="1"/>
      <c r="DW305" s="1"/>
      <c r="DX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</row>
    <row r="306" spans="1:142" s="3" customFormat="1" ht="15" customHeight="1" x14ac:dyDescent="0.25">
      <c r="A306" s="6" t="s">
        <v>445</v>
      </c>
      <c r="B306" s="2" t="s">
        <v>784</v>
      </c>
      <c r="C306" s="2" t="s">
        <v>1562</v>
      </c>
      <c r="D306" s="25" t="s">
        <v>1183</v>
      </c>
      <c r="E306" s="4" t="s">
        <v>1190</v>
      </c>
      <c r="F306" s="4" t="s">
        <v>1508</v>
      </c>
      <c r="G306" s="26">
        <v>1999</v>
      </c>
      <c r="H306" s="5"/>
      <c r="I306" s="5"/>
      <c r="J306" s="5"/>
      <c r="L306" s="2"/>
      <c r="M306" s="5"/>
      <c r="N306" s="2" t="s">
        <v>1563</v>
      </c>
      <c r="O306" s="28" t="s">
        <v>2650</v>
      </c>
      <c r="Q306" s="27"/>
      <c r="W306" s="3">
        <v>4</v>
      </c>
      <c r="AB306" s="3">
        <v>8</v>
      </c>
      <c r="AC306" s="3">
        <v>7</v>
      </c>
      <c r="AJ306" s="3">
        <v>3</v>
      </c>
      <c r="AX306" s="3">
        <v>2</v>
      </c>
      <c r="AZ306" s="3">
        <v>1</v>
      </c>
      <c r="BB306" s="3">
        <v>9</v>
      </c>
      <c r="BM306" s="3">
        <v>9</v>
      </c>
      <c r="BQ306" s="3">
        <v>2</v>
      </c>
      <c r="BR306" s="3">
        <v>1</v>
      </c>
      <c r="BT306" s="19">
        <v>2</v>
      </c>
      <c r="BU306" s="3">
        <v>3</v>
      </c>
      <c r="BV306" s="19">
        <v>1</v>
      </c>
      <c r="BW306" s="19">
        <v>3</v>
      </c>
      <c r="BX306" s="19">
        <v>1</v>
      </c>
      <c r="BZ306" s="19">
        <v>9</v>
      </c>
      <c r="CA306" s="19">
        <v>3</v>
      </c>
      <c r="CB306" s="19">
        <v>3</v>
      </c>
      <c r="CC306" s="19">
        <v>2</v>
      </c>
      <c r="CD306" s="3">
        <v>9</v>
      </c>
      <c r="CE306" s="19">
        <v>1</v>
      </c>
      <c r="CF306" s="19">
        <v>9</v>
      </c>
      <c r="CH306" s="3">
        <v>8</v>
      </c>
      <c r="CI306" s="3">
        <v>6</v>
      </c>
      <c r="CJ306" s="19">
        <v>3</v>
      </c>
      <c r="CK306" s="19">
        <v>9</v>
      </c>
      <c r="CM306" s="19">
        <v>8</v>
      </c>
      <c r="CN306" s="3" t="s">
        <v>1185</v>
      </c>
      <c r="CO306" s="3" t="s">
        <v>1185</v>
      </c>
      <c r="CP306" s="3" t="s">
        <v>1185</v>
      </c>
      <c r="CQ306" s="3" t="s">
        <v>1185</v>
      </c>
      <c r="CR306" s="3" t="s">
        <v>1185</v>
      </c>
      <c r="CS306" s="3" t="s">
        <v>1185</v>
      </c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</row>
    <row r="307" spans="1:142" ht="15" customHeight="1" x14ac:dyDescent="0.25">
      <c r="A307" s="6" t="s">
        <v>446</v>
      </c>
      <c r="B307" s="2" t="s">
        <v>784</v>
      </c>
      <c r="C307" s="2" t="s">
        <v>1564</v>
      </c>
      <c r="D307" s="25" t="s">
        <v>1183</v>
      </c>
      <c r="E307" s="4" t="s">
        <v>1190</v>
      </c>
      <c r="F307" s="4" t="s">
        <v>1508</v>
      </c>
      <c r="G307" s="26">
        <v>1999</v>
      </c>
      <c r="H307" s="5"/>
      <c r="I307" s="5"/>
      <c r="J307" s="5"/>
      <c r="K307" s="3"/>
      <c r="M307" s="5"/>
      <c r="N307" s="2" t="s">
        <v>1565</v>
      </c>
      <c r="O307" s="28" t="s">
        <v>2651</v>
      </c>
      <c r="P307" s="3"/>
      <c r="Q307" s="27"/>
      <c r="R307" s="3"/>
      <c r="S307" s="3"/>
      <c r="T307" s="3"/>
      <c r="U307" s="3"/>
      <c r="V307" s="3"/>
      <c r="W307" s="3"/>
      <c r="X307" s="3"/>
      <c r="Z307" s="3"/>
      <c r="AA307" s="3"/>
      <c r="AB307" s="3">
        <v>8</v>
      </c>
      <c r="AC307" s="3"/>
      <c r="AD307" s="3"/>
      <c r="AE307" s="3"/>
      <c r="AF307" s="3"/>
      <c r="AG307" s="3"/>
      <c r="AH307" s="3"/>
      <c r="AI307" s="3"/>
      <c r="AJ307" s="3">
        <v>3</v>
      </c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>
        <v>2</v>
      </c>
      <c r="AY307" s="3"/>
      <c r="AZ307" s="3">
        <v>2</v>
      </c>
      <c r="BA307" s="3"/>
      <c r="BB307" s="3">
        <v>9</v>
      </c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>
        <v>9</v>
      </c>
      <c r="BN307" s="3"/>
      <c r="BO307" s="3"/>
      <c r="BP307" s="3"/>
      <c r="BQ307" s="3">
        <v>9</v>
      </c>
      <c r="BR307" s="3">
        <v>5</v>
      </c>
      <c r="BS307" s="3"/>
      <c r="BT307" s="19">
        <v>7</v>
      </c>
      <c r="BU307" s="3">
        <v>5</v>
      </c>
      <c r="BV307" s="19">
        <v>5</v>
      </c>
      <c r="BW307" s="19">
        <v>5</v>
      </c>
      <c r="BX307" s="19">
        <v>6</v>
      </c>
      <c r="BY307" s="3"/>
      <c r="BZ307" s="19">
        <v>9</v>
      </c>
      <c r="CA307" s="19">
        <v>5</v>
      </c>
      <c r="CB307" s="19">
        <v>5</v>
      </c>
      <c r="CC307" s="19">
        <v>5</v>
      </c>
      <c r="CD307" s="3">
        <v>7</v>
      </c>
      <c r="CE307" s="19">
        <v>4</v>
      </c>
      <c r="CF307" s="19">
        <v>9</v>
      </c>
      <c r="CG307" s="3"/>
      <c r="CH307" s="3">
        <v>9</v>
      </c>
      <c r="CI307" s="3"/>
      <c r="CJ307" s="19">
        <v>7</v>
      </c>
      <c r="CK307" s="19">
        <v>9</v>
      </c>
      <c r="CL307" s="19">
        <v>7</v>
      </c>
      <c r="CM307" s="19">
        <v>8</v>
      </c>
      <c r="CN307" s="3" t="s">
        <v>1185</v>
      </c>
      <c r="CO307" s="3" t="s">
        <v>1185</v>
      </c>
      <c r="CP307" s="3" t="s">
        <v>1185</v>
      </c>
      <c r="CQ307" s="3" t="s">
        <v>1185</v>
      </c>
      <c r="CR307" s="3" t="s">
        <v>1185</v>
      </c>
      <c r="CS307" s="3" t="s">
        <v>1185</v>
      </c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R307" s="3"/>
      <c r="DS307" s="3"/>
      <c r="DT307" s="3"/>
      <c r="DX307" s="3"/>
    </row>
    <row r="308" spans="1:142" s="3" customFormat="1" ht="15" customHeight="1" x14ac:dyDescent="0.25">
      <c r="A308" s="6" t="s">
        <v>447</v>
      </c>
      <c r="B308" s="2" t="s">
        <v>784</v>
      </c>
      <c r="C308" s="2" t="s">
        <v>1566</v>
      </c>
      <c r="D308" s="25" t="s">
        <v>1183</v>
      </c>
      <c r="E308" s="4" t="s">
        <v>1190</v>
      </c>
      <c r="F308" s="4" t="s">
        <v>1540</v>
      </c>
      <c r="G308" s="26">
        <v>1999</v>
      </c>
      <c r="H308" s="5"/>
      <c r="I308" s="5"/>
      <c r="J308" s="5"/>
      <c r="L308" s="2"/>
      <c r="M308" s="5"/>
      <c r="N308" s="2" t="s">
        <v>1567</v>
      </c>
      <c r="O308" s="28" t="s">
        <v>2652</v>
      </c>
      <c r="Q308" s="27"/>
      <c r="AC308" s="3">
        <v>8</v>
      </c>
      <c r="AJ308" s="3">
        <v>2</v>
      </c>
      <c r="AX308" s="3">
        <v>3</v>
      </c>
      <c r="AZ308" s="3">
        <v>1</v>
      </c>
      <c r="BB308" s="3">
        <v>9</v>
      </c>
      <c r="BM308" s="3">
        <v>9</v>
      </c>
      <c r="BQ308" s="3">
        <v>8</v>
      </c>
      <c r="BR308" s="3">
        <v>7</v>
      </c>
      <c r="BT308" s="19">
        <v>9</v>
      </c>
      <c r="BU308" s="3">
        <v>7</v>
      </c>
      <c r="BV308" s="19">
        <v>8</v>
      </c>
      <c r="BW308" s="19">
        <v>9</v>
      </c>
      <c r="BX308" s="19">
        <v>7</v>
      </c>
      <c r="BZ308" s="19">
        <v>9</v>
      </c>
      <c r="CA308" s="19">
        <v>8</v>
      </c>
      <c r="CC308" s="19">
        <v>9</v>
      </c>
      <c r="CD308" s="3">
        <v>9</v>
      </c>
      <c r="CE308" s="19">
        <v>9</v>
      </c>
      <c r="CF308" s="19">
        <v>5</v>
      </c>
      <c r="CH308" s="3">
        <v>9</v>
      </c>
      <c r="CI308" s="3">
        <v>9</v>
      </c>
      <c r="CJ308" s="19">
        <v>9</v>
      </c>
      <c r="CK308" s="19">
        <v>9</v>
      </c>
      <c r="CL308" s="19">
        <v>9</v>
      </c>
      <c r="CM308" s="3" t="s">
        <v>1185</v>
      </c>
      <c r="CN308" s="3" t="s">
        <v>1185</v>
      </c>
      <c r="CO308" s="3" t="s">
        <v>1185</v>
      </c>
      <c r="CP308" s="3" t="s">
        <v>1185</v>
      </c>
      <c r="CQ308" s="3" t="s">
        <v>1185</v>
      </c>
      <c r="CR308" s="3" t="s">
        <v>1185</v>
      </c>
      <c r="DR308" s="3">
        <v>9</v>
      </c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</row>
    <row r="309" spans="1:142" s="3" customFormat="1" ht="15" customHeight="1" x14ac:dyDescent="0.25">
      <c r="A309" s="6" t="s">
        <v>448</v>
      </c>
      <c r="B309" s="2" t="s">
        <v>784</v>
      </c>
      <c r="C309" s="2" t="s">
        <v>1568</v>
      </c>
      <c r="D309" s="25" t="s">
        <v>1183</v>
      </c>
      <c r="E309" s="4" t="s">
        <v>1190</v>
      </c>
      <c r="F309" s="4" t="s">
        <v>1540</v>
      </c>
      <c r="G309" s="26">
        <v>1999</v>
      </c>
      <c r="H309" s="5"/>
      <c r="I309" s="5"/>
      <c r="J309" s="5"/>
      <c r="L309" s="2"/>
      <c r="M309" s="5"/>
      <c r="N309" s="2" t="s">
        <v>1569</v>
      </c>
      <c r="O309" s="28" t="s">
        <v>2653</v>
      </c>
      <c r="Q309" s="27"/>
      <c r="W309" s="3">
        <v>4</v>
      </c>
      <c r="AB309" s="3">
        <v>8</v>
      </c>
      <c r="AC309" s="3">
        <v>5</v>
      </c>
      <c r="AX309" s="3">
        <v>2</v>
      </c>
      <c r="AZ309" s="3">
        <v>2</v>
      </c>
      <c r="BB309" s="3">
        <v>9</v>
      </c>
      <c r="BM309" s="3">
        <v>9</v>
      </c>
      <c r="BQ309" s="3">
        <v>9</v>
      </c>
      <c r="BR309" s="3">
        <v>9</v>
      </c>
      <c r="BT309" s="19">
        <v>9</v>
      </c>
      <c r="BU309" s="3">
        <v>9</v>
      </c>
      <c r="BV309" s="19">
        <v>8</v>
      </c>
      <c r="BW309" s="19">
        <v>9</v>
      </c>
      <c r="BZ309" s="19">
        <v>9</v>
      </c>
      <c r="CA309" s="19">
        <v>6</v>
      </c>
      <c r="CB309" s="19">
        <v>8</v>
      </c>
      <c r="CC309" s="19">
        <v>9</v>
      </c>
      <c r="CD309" s="3">
        <v>9</v>
      </c>
      <c r="CF309" s="19">
        <v>9</v>
      </c>
      <c r="CH309" s="3">
        <v>9</v>
      </c>
      <c r="CI309" s="3">
        <v>8</v>
      </c>
      <c r="CJ309" s="19">
        <v>9</v>
      </c>
      <c r="CK309" s="19">
        <v>9</v>
      </c>
      <c r="CL309" s="19">
        <v>9</v>
      </c>
      <c r="CM309" s="19">
        <v>9</v>
      </c>
      <c r="CN309" s="3" t="s">
        <v>1185</v>
      </c>
      <c r="CO309" s="3" t="s">
        <v>1185</v>
      </c>
      <c r="CP309" s="3" t="s">
        <v>1185</v>
      </c>
      <c r="CQ309" s="3" t="s">
        <v>1185</v>
      </c>
      <c r="CR309" s="3" t="s">
        <v>1185</v>
      </c>
      <c r="CS309" s="3" t="s">
        <v>1185</v>
      </c>
      <c r="DR309" s="3">
        <v>9</v>
      </c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</row>
    <row r="310" spans="1:142" s="3" customFormat="1" ht="15" customHeight="1" x14ac:dyDescent="0.25">
      <c r="A310" s="6" t="s">
        <v>449</v>
      </c>
      <c r="B310" s="2" t="s">
        <v>784</v>
      </c>
      <c r="C310" s="2" t="s">
        <v>1570</v>
      </c>
      <c r="D310" s="25" t="s">
        <v>1183</v>
      </c>
      <c r="E310" s="4" t="s">
        <v>1190</v>
      </c>
      <c r="F310" s="4" t="s">
        <v>1508</v>
      </c>
      <c r="G310" s="26">
        <v>1999</v>
      </c>
      <c r="H310" s="5"/>
      <c r="I310" s="5"/>
      <c r="J310" s="5"/>
      <c r="K310" s="1"/>
      <c r="L310" s="2"/>
      <c r="M310" s="5"/>
      <c r="N310" s="2" t="s">
        <v>1571</v>
      </c>
      <c r="O310" s="28" t="s">
        <v>2654</v>
      </c>
      <c r="Q310" s="27"/>
      <c r="BB310" s="3">
        <v>9</v>
      </c>
      <c r="BM310" s="3">
        <v>9</v>
      </c>
      <c r="BQ310" s="3">
        <v>8</v>
      </c>
      <c r="BR310" s="3">
        <v>9</v>
      </c>
      <c r="BT310" s="19">
        <v>8</v>
      </c>
      <c r="BU310" s="3">
        <v>7</v>
      </c>
      <c r="BV310" s="19">
        <v>6</v>
      </c>
      <c r="BW310" s="19">
        <v>9</v>
      </c>
      <c r="BX310" s="19">
        <v>8</v>
      </c>
      <c r="BZ310" s="19">
        <v>9</v>
      </c>
      <c r="CA310" s="19">
        <v>6</v>
      </c>
      <c r="CC310" s="19">
        <v>5</v>
      </c>
      <c r="CD310" s="3">
        <v>5</v>
      </c>
      <c r="CF310" s="19">
        <v>5</v>
      </c>
      <c r="CH310" s="3">
        <v>8</v>
      </c>
      <c r="CI310" s="3">
        <v>1</v>
      </c>
      <c r="CJ310" s="19">
        <v>6</v>
      </c>
      <c r="CK310" s="19">
        <v>6</v>
      </c>
      <c r="CM310" s="3" t="s">
        <v>1185</v>
      </c>
      <c r="CN310" s="3" t="s">
        <v>1185</v>
      </c>
      <c r="CO310" s="3" t="s">
        <v>1185</v>
      </c>
      <c r="CQ310" s="3" t="s">
        <v>1185</v>
      </c>
      <c r="CR310" s="3" t="s">
        <v>1185</v>
      </c>
      <c r="DS310" s="1"/>
      <c r="DT310" s="1"/>
      <c r="DU310" s="1"/>
      <c r="DV310" s="1"/>
      <c r="DW310" s="1"/>
      <c r="DX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</row>
    <row r="311" spans="1:142" s="3" customFormat="1" ht="15" customHeight="1" x14ac:dyDescent="0.25">
      <c r="A311" s="6" t="s">
        <v>450</v>
      </c>
      <c r="B311" s="2" t="s">
        <v>784</v>
      </c>
      <c r="C311" s="2" t="s">
        <v>1572</v>
      </c>
      <c r="D311" s="25" t="s">
        <v>1183</v>
      </c>
      <c r="E311" s="4" t="s">
        <v>1190</v>
      </c>
      <c r="F311" s="4" t="s">
        <v>919</v>
      </c>
      <c r="G311" s="26">
        <v>1999</v>
      </c>
      <c r="H311" s="5"/>
      <c r="I311" s="5"/>
      <c r="J311" s="5"/>
      <c r="L311" s="2"/>
      <c r="M311" s="5"/>
      <c r="N311" s="2" t="s">
        <v>1573</v>
      </c>
      <c r="O311" s="28" t="s">
        <v>2655</v>
      </c>
      <c r="Q311" s="27"/>
      <c r="W311" s="3">
        <v>4</v>
      </c>
      <c r="AB311" s="3">
        <v>7</v>
      </c>
      <c r="AJ311" s="3">
        <v>4</v>
      </c>
      <c r="AX311" s="3">
        <v>5</v>
      </c>
      <c r="AZ311" s="3">
        <v>5</v>
      </c>
      <c r="BB311" s="3">
        <v>9</v>
      </c>
      <c r="BM311" s="3">
        <v>9</v>
      </c>
      <c r="BQ311" s="3">
        <v>7</v>
      </c>
      <c r="BR311" s="3">
        <v>8</v>
      </c>
      <c r="BT311" s="19">
        <v>9</v>
      </c>
      <c r="BU311" s="3">
        <v>9</v>
      </c>
      <c r="BV311" s="19">
        <v>4</v>
      </c>
      <c r="BW311" s="19">
        <v>9</v>
      </c>
      <c r="BX311" s="19">
        <v>6</v>
      </c>
      <c r="BZ311" s="19">
        <v>9</v>
      </c>
      <c r="CA311" s="19">
        <v>7</v>
      </c>
      <c r="CB311" s="19">
        <v>3</v>
      </c>
      <c r="CC311" s="19">
        <v>7</v>
      </c>
      <c r="CD311" s="3">
        <v>9</v>
      </c>
      <c r="CE311" s="19">
        <v>3</v>
      </c>
      <c r="CF311" s="19">
        <v>6</v>
      </c>
      <c r="CH311" s="3">
        <v>8</v>
      </c>
      <c r="CI311" s="3">
        <v>2</v>
      </c>
      <c r="CJ311" s="19">
        <v>8</v>
      </c>
      <c r="CK311" s="19">
        <v>8</v>
      </c>
      <c r="CL311" s="19">
        <v>7</v>
      </c>
      <c r="CM311" s="3" t="s">
        <v>1185</v>
      </c>
      <c r="CN311" s="3" t="s">
        <v>1185</v>
      </c>
      <c r="CO311" s="3" t="s">
        <v>1185</v>
      </c>
      <c r="CQ311" s="3" t="s">
        <v>1185</v>
      </c>
      <c r="CR311" s="3" t="s">
        <v>1185</v>
      </c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</row>
    <row r="312" spans="1:142" s="3" customFormat="1" ht="15" customHeight="1" x14ac:dyDescent="0.25">
      <c r="A312" s="6" t="s">
        <v>451</v>
      </c>
      <c r="B312" s="2" t="s">
        <v>784</v>
      </c>
      <c r="C312" s="2" t="s">
        <v>1574</v>
      </c>
      <c r="D312" s="25" t="s">
        <v>1183</v>
      </c>
      <c r="E312" s="4" t="s">
        <v>1190</v>
      </c>
      <c r="F312" s="4" t="s">
        <v>1419</v>
      </c>
      <c r="G312" s="26">
        <v>1999</v>
      </c>
      <c r="H312" s="5"/>
      <c r="I312" s="5"/>
      <c r="J312" s="5"/>
      <c r="L312" s="2"/>
      <c r="M312" s="5"/>
      <c r="N312" s="2" t="s">
        <v>1575</v>
      </c>
      <c r="O312" s="28" t="s">
        <v>2656</v>
      </c>
      <c r="Q312" s="27"/>
      <c r="W312" s="3">
        <v>4</v>
      </c>
      <c r="AB312" s="3">
        <v>8</v>
      </c>
      <c r="AC312" s="3">
        <v>8</v>
      </c>
      <c r="AJ312" s="3">
        <v>1</v>
      </c>
      <c r="AX312" s="3">
        <v>3</v>
      </c>
      <c r="AZ312" s="3">
        <v>1</v>
      </c>
      <c r="BB312" s="3">
        <v>9</v>
      </c>
      <c r="BM312" s="3">
        <v>9</v>
      </c>
      <c r="BQ312" s="3">
        <v>1</v>
      </c>
      <c r="BR312" s="3">
        <v>1</v>
      </c>
      <c r="BT312" s="19">
        <v>1</v>
      </c>
      <c r="BU312" s="3">
        <v>1</v>
      </c>
      <c r="BV312" s="19">
        <v>1</v>
      </c>
      <c r="BW312" s="19">
        <v>1</v>
      </c>
      <c r="BX312" s="19">
        <v>1</v>
      </c>
      <c r="BZ312" s="19">
        <v>1</v>
      </c>
      <c r="CA312" s="19">
        <v>1</v>
      </c>
      <c r="CB312" s="19">
        <v>1</v>
      </c>
      <c r="CC312" s="19">
        <v>1</v>
      </c>
      <c r="CD312" s="3">
        <v>1</v>
      </c>
      <c r="CE312" s="19">
        <v>1</v>
      </c>
      <c r="CF312" s="19">
        <v>1</v>
      </c>
      <c r="CH312" s="3">
        <v>1</v>
      </c>
      <c r="CI312" s="3">
        <v>1</v>
      </c>
      <c r="CJ312" s="19">
        <v>1</v>
      </c>
      <c r="CK312" s="19">
        <v>1</v>
      </c>
      <c r="CL312" s="19">
        <v>1</v>
      </c>
      <c r="CM312" s="19">
        <v>1</v>
      </c>
      <c r="CN312" s="3" t="s">
        <v>1185</v>
      </c>
      <c r="CO312" s="3" t="s">
        <v>1185</v>
      </c>
      <c r="CP312" s="3" t="s">
        <v>1185</v>
      </c>
      <c r="CQ312" s="3" t="s">
        <v>1185</v>
      </c>
      <c r="CR312" s="3" t="s">
        <v>1185</v>
      </c>
      <c r="CS312" s="3" t="s">
        <v>1185</v>
      </c>
      <c r="DQ312" s="19">
        <v>9</v>
      </c>
      <c r="EA312" s="1"/>
      <c r="EB312" s="1"/>
      <c r="EC312" s="1"/>
      <c r="ED312" s="1"/>
    </row>
    <row r="313" spans="1:142" s="3" customFormat="1" ht="15" customHeight="1" x14ac:dyDescent="0.25">
      <c r="A313" s="6" t="s">
        <v>452</v>
      </c>
      <c r="B313" s="2" t="s">
        <v>784</v>
      </c>
      <c r="C313" s="2" t="s">
        <v>1576</v>
      </c>
      <c r="D313" s="25" t="s">
        <v>1183</v>
      </c>
      <c r="E313" s="4" t="s">
        <v>1190</v>
      </c>
      <c r="F313" s="4" t="s">
        <v>1204</v>
      </c>
      <c r="G313" s="26">
        <v>1984</v>
      </c>
      <c r="H313" s="5"/>
      <c r="I313" s="5"/>
      <c r="J313" s="5"/>
      <c r="L313" s="2"/>
      <c r="M313" s="5"/>
      <c r="N313" s="2" t="s">
        <v>1577</v>
      </c>
      <c r="O313" s="28" t="s">
        <v>2657</v>
      </c>
      <c r="Q313" s="27"/>
      <c r="W313" s="3">
        <v>3</v>
      </c>
      <c r="AB313" s="3">
        <v>7</v>
      </c>
      <c r="AC313" s="3">
        <v>7</v>
      </c>
      <c r="AF313" s="3">
        <v>1</v>
      </c>
      <c r="AJ313" s="3">
        <v>5</v>
      </c>
      <c r="AX313" s="3">
        <v>1</v>
      </c>
      <c r="AZ313" s="3">
        <v>1</v>
      </c>
      <c r="BA313" s="3">
        <v>1</v>
      </c>
      <c r="BB313" s="3">
        <v>9</v>
      </c>
      <c r="CM313" s="3" t="s">
        <v>1185</v>
      </c>
      <c r="CN313" s="3" t="s">
        <v>1185</v>
      </c>
      <c r="CO313" s="3" t="s">
        <v>1185</v>
      </c>
      <c r="CP313" s="3" t="s">
        <v>1185</v>
      </c>
      <c r="CQ313" s="3" t="s">
        <v>1185</v>
      </c>
      <c r="CR313" s="3" t="s">
        <v>1185</v>
      </c>
      <c r="CS313" s="3" t="s">
        <v>1185</v>
      </c>
      <c r="DR313" s="3">
        <v>9</v>
      </c>
      <c r="DU313" s="1"/>
      <c r="DV313" s="1"/>
      <c r="DW313" s="1"/>
      <c r="DX313" s="1"/>
      <c r="EB313" s="1"/>
      <c r="EC313" s="1"/>
      <c r="ED313" s="1"/>
    </row>
    <row r="314" spans="1:142" ht="15" customHeight="1" x14ac:dyDescent="0.25">
      <c r="A314" s="6" t="s">
        <v>453</v>
      </c>
      <c r="B314" s="2" t="s">
        <v>784</v>
      </c>
      <c r="C314" s="2" t="s">
        <v>1578</v>
      </c>
      <c r="D314" s="25" t="s">
        <v>1183</v>
      </c>
      <c r="E314" s="4" t="s">
        <v>1190</v>
      </c>
      <c r="F314" s="4" t="s">
        <v>919</v>
      </c>
      <c r="G314" s="26">
        <v>1984</v>
      </c>
      <c r="H314" s="5"/>
      <c r="I314" s="5"/>
      <c r="J314" s="5"/>
      <c r="K314" s="3"/>
      <c r="M314" s="5"/>
      <c r="N314" s="2" t="s">
        <v>1579</v>
      </c>
      <c r="O314" s="28" t="s">
        <v>2658</v>
      </c>
      <c r="P314" s="3"/>
      <c r="Q314" s="27"/>
      <c r="R314" s="3"/>
      <c r="S314" s="3"/>
      <c r="T314" s="3"/>
      <c r="U314" s="3"/>
      <c r="V314" s="3"/>
      <c r="W314" s="3">
        <v>4</v>
      </c>
      <c r="X314" s="3"/>
      <c r="Z314" s="3"/>
      <c r="AA314" s="3"/>
      <c r="AB314" s="3"/>
      <c r="AC314" s="3">
        <v>7</v>
      </c>
      <c r="AD314" s="3"/>
      <c r="AE314" s="3"/>
      <c r="AF314" s="3">
        <v>1</v>
      </c>
      <c r="AG314" s="3"/>
      <c r="AH314" s="3"/>
      <c r="AI314" s="3"/>
      <c r="AJ314" s="3">
        <v>5</v>
      </c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>
        <v>4</v>
      </c>
      <c r="AY314" s="3"/>
      <c r="AZ314" s="3">
        <v>1</v>
      </c>
      <c r="BA314" s="3">
        <v>1</v>
      </c>
      <c r="BB314" s="3">
        <v>9</v>
      </c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 t="s">
        <v>1185</v>
      </c>
      <c r="CN314" s="3"/>
      <c r="CO314" s="3" t="s">
        <v>1185</v>
      </c>
      <c r="CP314" s="3" t="s">
        <v>1185</v>
      </c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19">
        <v>9</v>
      </c>
      <c r="DR314" s="3"/>
      <c r="DS314" s="3"/>
      <c r="DT314" s="3"/>
      <c r="DU314" s="3"/>
    </row>
    <row r="315" spans="1:142" ht="15" customHeight="1" x14ac:dyDescent="0.25">
      <c r="A315" s="6" t="s">
        <v>454</v>
      </c>
      <c r="B315" s="2" t="s">
        <v>784</v>
      </c>
      <c r="C315" s="2" t="s">
        <v>1580</v>
      </c>
      <c r="D315" s="25" t="s">
        <v>1183</v>
      </c>
      <c r="E315" s="4" t="s">
        <v>1190</v>
      </c>
      <c r="F315" s="4" t="s">
        <v>801</v>
      </c>
      <c r="G315" s="29"/>
      <c r="H315" s="5"/>
      <c r="I315" s="5"/>
      <c r="J315" s="5"/>
      <c r="M315" s="5"/>
      <c r="N315" s="2" t="s">
        <v>1581</v>
      </c>
      <c r="O315" s="28" t="s">
        <v>2659</v>
      </c>
      <c r="P315" s="3"/>
      <c r="Q315" s="27"/>
      <c r="R315" s="3"/>
      <c r="S315" s="3"/>
      <c r="T315" s="3"/>
      <c r="U315" s="3"/>
      <c r="V315" s="3"/>
      <c r="W315" s="3">
        <v>4</v>
      </c>
      <c r="X315" s="3"/>
      <c r="Z315" s="3"/>
      <c r="AA315" s="3"/>
      <c r="AB315" s="3">
        <v>1</v>
      </c>
      <c r="AC315" s="3">
        <v>7</v>
      </c>
      <c r="AD315" s="3"/>
      <c r="AE315" s="3"/>
      <c r="AF315" s="3">
        <v>1</v>
      </c>
      <c r="AG315" s="3"/>
      <c r="AH315" s="3"/>
      <c r="AI315" s="3"/>
      <c r="AJ315" s="3">
        <v>5</v>
      </c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>
        <v>1</v>
      </c>
      <c r="AY315" s="3"/>
      <c r="AZ315" s="3">
        <v>1</v>
      </c>
      <c r="BA315" s="3">
        <v>1</v>
      </c>
      <c r="BB315" s="3">
        <v>9</v>
      </c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 t="s">
        <v>1185</v>
      </c>
      <c r="CN315" s="3" t="s">
        <v>1185</v>
      </c>
      <c r="CO315" s="3"/>
      <c r="CP315" s="3"/>
      <c r="CQ315" s="3" t="s">
        <v>1185</v>
      </c>
      <c r="CR315" s="3" t="s">
        <v>1185</v>
      </c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19">
        <v>9</v>
      </c>
      <c r="DR315" s="3"/>
    </row>
    <row r="316" spans="1:142" ht="15" customHeight="1" x14ac:dyDescent="0.25">
      <c r="A316" s="6" t="s">
        <v>455</v>
      </c>
      <c r="B316" s="2" t="s">
        <v>784</v>
      </c>
      <c r="C316" s="2" t="s">
        <v>1582</v>
      </c>
      <c r="D316" s="25" t="s">
        <v>1183</v>
      </c>
      <c r="E316" s="4" t="s">
        <v>1190</v>
      </c>
      <c r="F316" s="4" t="s">
        <v>793</v>
      </c>
      <c r="G316" s="29"/>
      <c r="H316" s="5"/>
      <c r="I316" s="5"/>
      <c r="J316" s="5"/>
      <c r="M316" s="5"/>
      <c r="N316" s="2" t="s">
        <v>1583</v>
      </c>
      <c r="O316" s="28" t="s">
        <v>2660</v>
      </c>
      <c r="P316" s="3"/>
      <c r="Q316" s="27"/>
      <c r="R316" s="3"/>
      <c r="S316" s="3"/>
      <c r="T316" s="3"/>
      <c r="U316" s="3"/>
      <c r="V316" s="3"/>
      <c r="W316" s="3">
        <v>4</v>
      </c>
      <c r="X316" s="3"/>
      <c r="Z316" s="3"/>
      <c r="AA316" s="3"/>
      <c r="AB316" s="3">
        <v>8</v>
      </c>
      <c r="AC316" s="3">
        <v>7</v>
      </c>
      <c r="AD316" s="3"/>
      <c r="AE316" s="3"/>
      <c r="AF316" s="3">
        <v>1</v>
      </c>
      <c r="AG316" s="3"/>
      <c r="AH316" s="3"/>
      <c r="AI316" s="3"/>
      <c r="AJ316" s="3">
        <v>4</v>
      </c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>
        <v>1</v>
      </c>
      <c r="AY316" s="3"/>
      <c r="AZ316" s="3">
        <v>1</v>
      </c>
      <c r="BA316" s="3">
        <v>1</v>
      </c>
      <c r="BB316" s="3">
        <v>9</v>
      </c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 t="s">
        <v>1185</v>
      </c>
      <c r="CN316" s="3"/>
      <c r="CO316" s="3" t="s">
        <v>1185</v>
      </c>
      <c r="CP316" s="3" t="s">
        <v>1185</v>
      </c>
      <c r="CR316" s="3" t="s">
        <v>1185</v>
      </c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19">
        <v>9</v>
      </c>
      <c r="DR316" s="3"/>
    </row>
    <row r="317" spans="1:142" ht="15" customHeight="1" x14ac:dyDescent="0.25">
      <c r="A317" s="6" t="s">
        <v>456</v>
      </c>
      <c r="B317" s="2" t="s">
        <v>784</v>
      </c>
      <c r="C317" s="2" t="s">
        <v>1584</v>
      </c>
      <c r="D317" s="25" t="s">
        <v>1183</v>
      </c>
      <c r="E317" s="4" t="s">
        <v>1190</v>
      </c>
      <c r="F317" s="4" t="s">
        <v>1225</v>
      </c>
      <c r="G317" s="26">
        <v>1996</v>
      </c>
      <c r="H317" s="5"/>
      <c r="I317" s="5"/>
      <c r="J317" s="5"/>
      <c r="M317" s="5"/>
      <c r="N317" s="2" t="s">
        <v>1585</v>
      </c>
      <c r="O317" s="28" t="s">
        <v>2661</v>
      </c>
      <c r="P317" s="3"/>
      <c r="Q317" s="27"/>
      <c r="R317" s="3"/>
      <c r="S317" s="3"/>
      <c r="T317" s="3"/>
      <c r="U317" s="3"/>
      <c r="V317" s="3"/>
      <c r="W317" s="3">
        <v>4</v>
      </c>
      <c r="X317" s="3"/>
      <c r="Z317" s="3"/>
      <c r="AA317" s="3"/>
      <c r="AB317" s="3">
        <v>8</v>
      </c>
      <c r="AC317" s="3">
        <v>8</v>
      </c>
      <c r="AD317" s="3"/>
      <c r="AE317" s="3"/>
      <c r="AF317" s="3">
        <v>1</v>
      </c>
      <c r="AG317" s="3"/>
      <c r="AH317" s="3"/>
      <c r="AI317" s="3"/>
      <c r="AJ317" s="3">
        <v>5</v>
      </c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>
        <v>2</v>
      </c>
      <c r="AY317" s="3"/>
      <c r="AZ317" s="3">
        <v>1</v>
      </c>
      <c r="BA317" s="3">
        <v>1</v>
      </c>
      <c r="BB317" s="3">
        <v>9</v>
      </c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 t="s">
        <v>1185</v>
      </c>
      <c r="CN317" s="3" t="s">
        <v>1185</v>
      </c>
      <c r="CO317" s="3" t="s">
        <v>1185</v>
      </c>
      <c r="CP317" s="3" t="s">
        <v>1185</v>
      </c>
      <c r="CQ317" s="3" t="s">
        <v>1185</v>
      </c>
      <c r="CR317" s="3" t="s">
        <v>1185</v>
      </c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R317" s="3">
        <v>9</v>
      </c>
      <c r="EA317" s="3"/>
    </row>
    <row r="318" spans="1:142" ht="15" customHeight="1" x14ac:dyDescent="0.25">
      <c r="A318" s="6" t="s">
        <v>457</v>
      </c>
      <c r="B318" s="2" t="s">
        <v>784</v>
      </c>
      <c r="C318" s="2" t="s">
        <v>1586</v>
      </c>
      <c r="D318" s="25" t="s">
        <v>1183</v>
      </c>
      <c r="E318" s="4" t="s">
        <v>1190</v>
      </c>
      <c r="F318" s="4" t="s">
        <v>809</v>
      </c>
      <c r="G318" s="26">
        <v>1995</v>
      </c>
      <c r="H318" s="5"/>
      <c r="I318" s="5"/>
      <c r="J318" s="5"/>
      <c r="M318" s="5"/>
      <c r="N318" s="2" t="s">
        <v>1587</v>
      </c>
      <c r="O318" s="28" t="s">
        <v>2662</v>
      </c>
      <c r="P318" s="3"/>
      <c r="Q318" s="27"/>
      <c r="R318" s="3"/>
      <c r="S318" s="3"/>
      <c r="T318" s="3"/>
      <c r="U318" s="3"/>
      <c r="V318" s="3"/>
      <c r="W318" s="3">
        <v>4</v>
      </c>
      <c r="X318" s="3"/>
      <c r="Z318" s="3"/>
      <c r="AA318" s="3"/>
      <c r="AB318" s="3">
        <v>7</v>
      </c>
      <c r="AC318" s="3">
        <v>7</v>
      </c>
      <c r="AD318" s="3"/>
      <c r="AE318" s="3"/>
      <c r="AF318" s="3">
        <v>1</v>
      </c>
      <c r="AG318" s="3"/>
      <c r="AH318" s="3"/>
      <c r="AI318" s="3"/>
      <c r="AJ318" s="3">
        <v>5</v>
      </c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>
        <v>2</v>
      </c>
      <c r="AY318" s="3"/>
      <c r="AZ318" s="3">
        <v>1</v>
      </c>
      <c r="BA318" s="3">
        <v>1</v>
      </c>
      <c r="BB318" s="3">
        <v>9</v>
      </c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 t="s">
        <v>1185</v>
      </c>
      <c r="CN318" s="3" t="s">
        <v>1185</v>
      </c>
      <c r="CO318" s="3"/>
      <c r="CP318" s="3" t="s">
        <v>1185</v>
      </c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19">
        <v>9</v>
      </c>
      <c r="DR318" s="3"/>
      <c r="DU318" s="3"/>
    </row>
    <row r="319" spans="1:142" s="3" customFormat="1" ht="15" customHeight="1" x14ac:dyDescent="0.25">
      <c r="A319" s="6" t="s">
        <v>458</v>
      </c>
      <c r="B319" s="2" t="s">
        <v>784</v>
      </c>
      <c r="C319" s="2" t="s">
        <v>1588</v>
      </c>
      <c r="D319" s="25" t="s">
        <v>1183</v>
      </c>
      <c r="E319" s="4" t="s">
        <v>1190</v>
      </c>
      <c r="F319" s="4" t="s">
        <v>793</v>
      </c>
      <c r="G319" s="26">
        <v>1995</v>
      </c>
      <c r="H319" s="5"/>
      <c r="I319" s="5"/>
      <c r="J319" s="5"/>
      <c r="K319" s="1"/>
      <c r="L319" s="2"/>
      <c r="M319" s="5"/>
      <c r="N319" s="2" t="s">
        <v>1589</v>
      </c>
      <c r="O319" s="28" t="s">
        <v>2663</v>
      </c>
      <c r="Q319" s="27"/>
      <c r="W319" s="3">
        <v>4</v>
      </c>
      <c r="AB319" s="3">
        <v>1</v>
      </c>
      <c r="AC319" s="3">
        <v>6</v>
      </c>
      <c r="AF319" s="3">
        <v>1</v>
      </c>
      <c r="AJ319" s="3">
        <v>5</v>
      </c>
      <c r="AX319" s="3">
        <v>2</v>
      </c>
      <c r="AZ319" s="3">
        <v>1</v>
      </c>
      <c r="BA319" s="3">
        <v>1</v>
      </c>
      <c r="BB319" s="3">
        <v>9</v>
      </c>
      <c r="CM319" s="3" t="s">
        <v>1185</v>
      </c>
      <c r="CN319" s="3" t="s">
        <v>1185</v>
      </c>
      <c r="CO319" s="3" t="s">
        <v>1185</v>
      </c>
      <c r="CP319" s="3" t="s">
        <v>1185</v>
      </c>
      <c r="CQ319" s="3" t="s">
        <v>1185</v>
      </c>
      <c r="CR319" s="3" t="s">
        <v>1185</v>
      </c>
      <c r="CS319" s="3" t="s">
        <v>1185</v>
      </c>
      <c r="DS319" s="1"/>
      <c r="DT319" s="1"/>
      <c r="DU319" s="1"/>
      <c r="DV319" s="1"/>
      <c r="DW319" s="1"/>
      <c r="DX319" s="1"/>
      <c r="DY319" s="1"/>
      <c r="DZ319" s="1"/>
      <c r="EA319" s="1"/>
      <c r="EE319" s="1"/>
      <c r="EF319" s="1"/>
      <c r="EG319" s="1"/>
      <c r="EH319" s="1"/>
      <c r="EI319" s="1"/>
      <c r="EJ319" s="1"/>
      <c r="EK319" s="1"/>
      <c r="EL319" s="1"/>
    </row>
    <row r="320" spans="1:142" s="3" customFormat="1" ht="15" customHeight="1" x14ac:dyDescent="0.25">
      <c r="A320" s="6" t="s">
        <v>459</v>
      </c>
      <c r="B320" s="2" t="s">
        <v>784</v>
      </c>
      <c r="C320" s="2" t="s">
        <v>1590</v>
      </c>
      <c r="D320" s="25" t="s">
        <v>1183</v>
      </c>
      <c r="E320" s="4" t="s">
        <v>1190</v>
      </c>
      <c r="F320" s="4" t="s">
        <v>859</v>
      </c>
      <c r="G320" s="29"/>
      <c r="H320" s="5"/>
      <c r="I320" s="5"/>
      <c r="J320" s="5"/>
      <c r="K320" s="1"/>
      <c r="L320" s="2"/>
      <c r="M320" s="5"/>
      <c r="N320" s="2" t="s">
        <v>1591</v>
      </c>
      <c r="O320" s="28" t="s">
        <v>2664</v>
      </c>
      <c r="Q320" s="27"/>
      <c r="W320" s="3">
        <v>4</v>
      </c>
      <c r="AB320" s="3">
        <v>7</v>
      </c>
      <c r="AC320" s="3">
        <v>7</v>
      </c>
      <c r="AF320" s="3">
        <v>1</v>
      </c>
      <c r="AJ320" s="3">
        <v>5</v>
      </c>
      <c r="AX320" s="3">
        <v>5</v>
      </c>
      <c r="AZ320" s="3">
        <v>1</v>
      </c>
      <c r="BA320" s="3">
        <v>1</v>
      </c>
      <c r="BB320" s="3">
        <v>9</v>
      </c>
      <c r="CN320" s="3" t="s">
        <v>1185</v>
      </c>
      <c r="CO320" s="3" t="s">
        <v>1185</v>
      </c>
      <c r="CP320" s="3" t="s">
        <v>1185</v>
      </c>
      <c r="CQ320" s="3" t="s">
        <v>1185</v>
      </c>
      <c r="CR320" s="3" t="s">
        <v>1185</v>
      </c>
      <c r="CS320" s="3" t="s">
        <v>1185</v>
      </c>
      <c r="DS320" s="1"/>
      <c r="DT320" s="1"/>
      <c r="DU320" s="1"/>
      <c r="DV320" s="1"/>
      <c r="DW320" s="1"/>
      <c r="DX320" s="1"/>
      <c r="EE320" s="1"/>
      <c r="EF320" s="1"/>
      <c r="EG320" s="1"/>
      <c r="EH320" s="1"/>
      <c r="EI320" s="1"/>
      <c r="EJ320" s="1"/>
      <c r="EK320" s="1"/>
      <c r="EL320" s="1"/>
    </row>
    <row r="321" spans="1:142" s="3" customFormat="1" ht="15" customHeight="1" x14ac:dyDescent="0.25">
      <c r="A321" s="6" t="s">
        <v>460</v>
      </c>
      <c r="B321" s="2" t="s">
        <v>784</v>
      </c>
      <c r="C321" s="2" t="s">
        <v>1592</v>
      </c>
      <c r="D321" s="25" t="s">
        <v>1183</v>
      </c>
      <c r="E321" s="4" t="s">
        <v>1190</v>
      </c>
      <c r="F321" s="4" t="s">
        <v>1160</v>
      </c>
      <c r="G321" s="26">
        <v>1996</v>
      </c>
      <c r="H321" s="5"/>
      <c r="I321" s="5"/>
      <c r="J321" s="5"/>
      <c r="K321" s="1"/>
      <c r="L321" s="2"/>
      <c r="M321" s="5"/>
      <c r="N321" s="2" t="s">
        <v>1593</v>
      </c>
      <c r="O321" s="28" t="s">
        <v>2665</v>
      </c>
      <c r="Q321" s="27"/>
      <c r="W321" s="3">
        <v>4</v>
      </c>
      <c r="AC321" s="3">
        <v>7</v>
      </c>
      <c r="AF321" s="3">
        <v>1</v>
      </c>
      <c r="AJ321" s="3">
        <v>5</v>
      </c>
      <c r="AX321" s="3">
        <v>1</v>
      </c>
      <c r="AZ321" s="3">
        <v>2</v>
      </c>
      <c r="BA321" s="3">
        <v>1</v>
      </c>
      <c r="BB321" s="3">
        <v>9</v>
      </c>
      <c r="CM321" s="3" t="s">
        <v>1185</v>
      </c>
      <c r="CN321" s="3" t="s">
        <v>1185</v>
      </c>
      <c r="CO321" s="3" t="s">
        <v>1185</v>
      </c>
      <c r="CQ321" s="3" t="s">
        <v>1185</v>
      </c>
      <c r="DR321" s="3">
        <v>9</v>
      </c>
      <c r="DS321" s="1"/>
      <c r="DT321" s="1"/>
      <c r="DU321" s="1"/>
      <c r="DV321" s="1"/>
      <c r="DW321" s="1"/>
      <c r="DX321" s="1"/>
      <c r="EA321" s="1"/>
      <c r="EE321" s="1"/>
      <c r="EF321" s="1"/>
      <c r="EG321" s="1"/>
      <c r="EH321" s="1"/>
      <c r="EI321" s="1"/>
      <c r="EJ321" s="1"/>
      <c r="EK321" s="1"/>
      <c r="EL321" s="1"/>
    </row>
    <row r="322" spans="1:142" s="3" customFormat="1" ht="15" customHeight="1" x14ac:dyDescent="0.25">
      <c r="A322" s="6" t="s">
        <v>461</v>
      </c>
      <c r="B322" s="2" t="s">
        <v>784</v>
      </c>
      <c r="C322" s="2" t="s">
        <v>1594</v>
      </c>
      <c r="D322" s="25" t="s">
        <v>1183</v>
      </c>
      <c r="E322" s="4" t="s">
        <v>1190</v>
      </c>
      <c r="F322" s="4" t="s">
        <v>813</v>
      </c>
      <c r="G322" s="26">
        <v>1999</v>
      </c>
      <c r="H322" s="5"/>
      <c r="I322" s="5"/>
      <c r="J322" s="5"/>
      <c r="K322" s="1"/>
      <c r="L322" s="2"/>
      <c r="M322" s="5"/>
      <c r="N322" s="2" t="s">
        <v>1595</v>
      </c>
      <c r="O322" s="28" t="s">
        <v>2666</v>
      </c>
      <c r="Q322" s="27"/>
      <c r="W322" s="3">
        <v>4</v>
      </c>
      <c r="AB322" s="3">
        <v>3</v>
      </c>
      <c r="AC322" s="3">
        <v>7</v>
      </c>
      <c r="AF322" s="3">
        <v>1</v>
      </c>
      <c r="AJ322" s="3">
        <v>3</v>
      </c>
      <c r="AX322" s="3">
        <v>1</v>
      </c>
      <c r="AZ322" s="3">
        <v>3</v>
      </c>
      <c r="BA322" s="3">
        <v>1</v>
      </c>
      <c r="BB322" s="3">
        <v>9</v>
      </c>
      <c r="CM322" s="3" t="s">
        <v>1185</v>
      </c>
      <c r="CN322" s="3" t="s">
        <v>1185</v>
      </c>
      <c r="CO322" s="3" t="s">
        <v>1185</v>
      </c>
      <c r="CP322" s="3" t="s">
        <v>1185</v>
      </c>
      <c r="CQ322" s="3" t="s">
        <v>1185</v>
      </c>
      <c r="CR322" s="3" t="s">
        <v>1185</v>
      </c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</row>
    <row r="323" spans="1:142" s="3" customFormat="1" ht="15" customHeight="1" x14ac:dyDescent="0.25">
      <c r="A323" s="6" t="s">
        <v>462</v>
      </c>
      <c r="B323" s="2" t="s">
        <v>784</v>
      </c>
      <c r="C323" s="2" t="s">
        <v>1596</v>
      </c>
      <c r="D323" s="25" t="s">
        <v>1183</v>
      </c>
      <c r="E323" s="4" t="s">
        <v>1190</v>
      </c>
      <c r="F323" s="4" t="s">
        <v>793</v>
      </c>
      <c r="G323" s="26">
        <v>2000</v>
      </c>
      <c r="H323" s="5"/>
      <c r="I323" s="5"/>
      <c r="J323" s="5"/>
      <c r="K323" s="1"/>
      <c r="L323" s="2"/>
      <c r="M323" s="5"/>
      <c r="N323" s="2" t="s">
        <v>1597</v>
      </c>
      <c r="O323" s="28" t="s">
        <v>2667</v>
      </c>
      <c r="Q323" s="27"/>
      <c r="W323" s="3">
        <v>4</v>
      </c>
      <c r="AB323" s="3">
        <v>7</v>
      </c>
      <c r="AC323" s="3">
        <v>8</v>
      </c>
      <c r="AF323" s="3">
        <v>1</v>
      </c>
      <c r="AJ323" s="3">
        <v>5</v>
      </c>
      <c r="AX323" s="3">
        <v>2</v>
      </c>
      <c r="AZ323" s="3">
        <v>1</v>
      </c>
      <c r="BA323" s="3">
        <v>1</v>
      </c>
      <c r="BB323" s="3">
        <v>9</v>
      </c>
      <c r="CM323" s="3" t="s">
        <v>1185</v>
      </c>
      <c r="CN323" s="3" t="s">
        <v>1185</v>
      </c>
      <c r="CR323" s="3" t="s">
        <v>1185</v>
      </c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</row>
    <row r="324" spans="1:142" s="3" customFormat="1" ht="15" customHeight="1" x14ac:dyDescent="0.25">
      <c r="A324" s="6" t="s">
        <v>463</v>
      </c>
      <c r="B324" s="2" t="s">
        <v>784</v>
      </c>
      <c r="C324" s="2" t="s">
        <v>1598</v>
      </c>
      <c r="D324" s="25" t="s">
        <v>1183</v>
      </c>
      <c r="E324" s="4" t="s">
        <v>1190</v>
      </c>
      <c r="F324" s="5"/>
      <c r="G324" s="29"/>
      <c r="H324" s="4" t="s">
        <v>133</v>
      </c>
      <c r="I324" s="5"/>
      <c r="J324" s="5"/>
      <c r="K324" s="1"/>
      <c r="L324" s="2"/>
      <c r="M324" s="4" t="s">
        <v>1599</v>
      </c>
      <c r="N324" s="2" t="s">
        <v>1600</v>
      </c>
      <c r="O324" s="28" t="s">
        <v>2668</v>
      </c>
      <c r="Q324" s="27"/>
      <c r="CM324" s="3" t="s">
        <v>1185</v>
      </c>
      <c r="CN324" s="3" t="s">
        <v>1185</v>
      </c>
      <c r="CQ324" s="3" t="s">
        <v>1185</v>
      </c>
      <c r="CS324" s="3" t="s">
        <v>1185</v>
      </c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</row>
    <row r="325" spans="1:142" s="3" customFormat="1" ht="15" customHeight="1" x14ac:dyDescent="0.25">
      <c r="A325" s="6" t="s">
        <v>464</v>
      </c>
      <c r="B325" s="2" t="s">
        <v>784</v>
      </c>
      <c r="C325" s="2" t="s">
        <v>1601</v>
      </c>
      <c r="D325" s="25" t="s">
        <v>1183</v>
      </c>
      <c r="E325" s="4" t="s">
        <v>1190</v>
      </c>
      <c r="F325" s="5"/>
      <c r="G325" s="29"/>
      <c r="H325" s="4" t="s">
        <v>132</v>
      </c>
      <c r="I325" s="5"/>
      <c r="J325" s="5"/>
      <c r="K325" s="1"/>
      <c r="L325" s="2"/>
      <c r="M325" s="4" t="s">
        <v>1602</v>
      </c>
      <c r="N325" s="2" t="s">
        <v>1603</v>
      </c>
      <c r="O325" s="28" t="s">
        <v>2669</v>
      </c>
      <c r="Q325" s="27"/>
      <c r="CM325" s="3" t="s">
        <v>1185</v>
      </c>
      <c r="CN325" s="3" t="s">
        <v>1185</v>
      </c>
      <c r="CP325" s="3" t="s">
        <v>1185</v>
      </c>
      <c r="CQ325" s="3" t="s">
        <v>1185</v>
      </c>
      <c r="CR325" s="3" t="s">
        <v>1185</v>
      </c>
      <c r="DS325" s="1"/>
      <c r="DT325" s="1"/>
      <c r="DU325" s="1"/>
      <c r="DV325" s="1"/>
      <c r="DW325" s="1"/>
      <c r="DX325" s="1"/>
      <c r="DY325" s="1"/>
      <c r="DZ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</row>
    <row r="326" spans="1:142" s="3" customFormat="1" ht="15" customHeight="1" x14ac:dyDescent="0.25">
      <c r="A326" s="6" t="s">
        <v>465</v>
      </c>
      <c r="B326" s="2" t="s">
        <v>1046</v>
      </c>
      <c r="C326" s="5" t="s">
        <v>138</v>
      </c>
      <c r="D326" s="25" t="s">
        <v>1183</v>
      </c>
      <c r="E326" s="4" t="s">
        <v>858</v>
      </c>
      <c r="F326" s="5"/>
      <c r="G326" s="29"/>
      <c r="H326" s="5" t="s">
        <v>138</v>
      </c>
      <c r="I326" s="5"/>
      <c r="J326" s="5"/>
      <c r="K326" s="1"/>
      <c r="L326" s="2"/>
      <c r="M326" s="5" t="s">
        <v>1863</v>
      </c>
      <c r="N326" s="2"/>
      <c r="O326" s="28"/>
      <c r="Q326" s="27"/>
      <c r="DS326" s="1"/>
      <c r="DT326" s="1"/>
    </row>
    <row r="327" spans="1:142" s="3" customFormat="1" ht="15" customHeight="1" x14ac:dyDescent="0.25">
      <c r="A327" s="6" t="s">
        <v>466</v>
      </c>
      <c r="B327" s="2" t="s">
        <v>784</v>
      </c>
      <c r="C327" s="2" t="s">
        <v>1604</v>
      </c>
      <c r="D327" s="25" t="s">
        <v>1605</v>
      </c>
      <c r="E327" s="4" t="s">
        <v>1190</v>
      </c>
      <c r="F327" s="4" t="s">
        <v>813</v>
      </c>
      <c r="G327" s="26">
        <v>1982</v>
      </c>
      <c r="H327" s="5"/>
      <c r="I327" s="5"/>
      <c r="J327" s="5"/>
      <c r="K327" s="1"/>
      <c r="L327" s="2"/>
      <c r="M327" s="5"/>
      <c r="N327" s="2" t="s">
        <v>1606</v>
      </c>
      <c r="O327" s="28" t="s">
        <v>2670</v>
      </c>
      <c r="Q327" s="27">
        <v>2</v>
      </c>
      <c r="W327" s="3">
        <v>8</v>
      </c>
      <c r="AC327" s="3">
        <v>7</v>
      </c>
      <c r="AF327" s="3">
        <v>1</v>
      </c>
      <c r="AI327" s="3">
        <v>9</v>
      </c>
      <c r="AW327" s="3">
        <v>9</v>
      </c>
      <c r="AY327" s="3">
        <v>1</v>
      </c>
      <c r="BN327" s="3">
        <v>4</v>
      </c>
      <c r="BP327" s="3">
        <v>5</v>
      </c>
      <c r="BQ327" s="3">
        <v>3</v>
      </c>
      <c r="BR327" s="3">
        <v>3</v>
      </c>
      <c r="BS327" s="3">
        <v>5</v>
      </c>
      <c r="BT327" s="3">
        <v>3</v>
      </c>
      <c r="BU327" s="3">
        <v>1</v>
      </c>
      <c r="BV327" s="3">
        <v>3</v>
      </c>
      <c r="BW327" s="3">
        <v>3</v>
      </c>
      <c r="BX327" s="3">
        <v>3</v>
      </c>
      <c r="BY327" s="3">
        <v>1</v>
      </c>
      <c r="BZ327" s="3">
        <v>3</v>
      </c>
      <c r="CA327" s="3">
        <v>3</v>
      </c>
      <c r="CB327" s="3">
        <v>3</v>
      </c>
      <c r="CC327" s="3">
        <v>1</v>
      </c>
      <c r="CD327" s="3">
        <v>1</v>
      </c>
      <c r="CY327" s="3">
        <v>1</v>
      </c>
      <c r="CZ327" s="3">
        <v>3</v>
      </c>
      <c r="DA327" s="3">
        <v>3</v>
      </c>
      <c r="DB327" s="3">
        <v>1</v>
      </c>
      <c r="DC327" s="3">
        <v>3</v>
      </c>
      <c r="DD327" s="3">
        <v>3</v>
      </c>
      <c r="DE327" s="3">
        <v>1</v>
      </c>
      <c r="DF327" s="3">
        <v>1</v>
      </c>
      <c r="DG327" s="3">
        <v>1</v>
      </c>
      <c r="DH327" s="3">
        <v>1</v>
      </c>
      <c r="DI327" s="3">
        <v>1</v>
      </c>
      <c r="DJ327" s="3">
        <v>1</v>
      </c>
      <c r="DK327" s="3">
        <v>1</v>
      </c>
      <c r="DQ327" s="19">
        <v>1</v>
      </c>
      <c r="DS327" s="1"/>
      <c r="DT327" s="1"/>
    </row>
    <row r="328" spans="1:142" s="3" customFormat="1" ht="15" customHeight="1" x14ac:dyDescent="0.25">
      <c r="A328" s="6" t="s">
        <v>467</v>
      </c>
      <c r="B328" s="2" t="s">
        <v>784</v>
      </c>
      <c r="C328" s="2" t="s">
        <v>1607</v>
      </c>
      <c r="D328" s="25" t="s">
        <v>1605</v>
      </c>
      <c r="E328" s="4" t="s">
        <v>1190</v>
      </c>
      <c r="F328" s="5"/>
      <c r="G328" s="29"/>
      <c r="H328" s="5"/>
      <c r="I328" s="5"/>
      <c r="J328" s="5"/>
      <c r="K328" s="1"/>
      <c r="L328" s="2"/>
      <c r="M328" s="5" t="s">
        <v>1864</v>
      </c>
      <c r="N328" s="2" t="s">
        <v>1608</v>
      </c>
      <c r="O328" s="28" t="s">
        <v>2671</v>
      </c>
      <c r="Q328" s="27">
        <v>2</v>
      </c>
      <c r="R328" s="19">
        <v>5</v>
      </c>
      <c r="U328" s="3">
        <v>9</v>
      </c>
      <c r="W328" s="3">
        <v>8</v>
      </c>
      <c r="AB328" s="3">
        <v>5</v>
      </c>
      <c r="AC328" s="3">
        <v>7</v>
      </c>
      <c r="AF328" s="3">
        <v>1</v>
      </c>
      <c r="AI328" s="3">
        <v>1</v>
      </c>
      <c r="AW328" s="3">
        <v>9</v>
      </c>
      <c r="AY328" s="3">
        <v>1</v>
      </c>
      <c r="BB328" s="3">
        <v>9</v>
      </c>
      <c r="BM328" s="3">
        <v>8</v>
      </c>
      <c r="BP328" s="3">
        <v>8</v>
      </c>
      <c r="BQ328" s="3">
        <v>2</v>
      </c>
      <c r="BS328" s="3">
        <v>3</v>
      </c>
      <c r="BT328" s="3">
        <v>1</v>
      </c>
      <c r="BU328" s="3">
        <v>3</v>
      </c>
      <c r="BV328" s="3">
        <v>3</v>
      </c>
      <c r="BW328" s="3">
        <v>3</v>
      </c>
      <c r="BY328" s="3">
        <v>1</v>
      </c>
      <c r="BZ328" s="3">
        <v>2</v>
      </c>
      <c r="CB328" s="3">
        <v>2</v>
      </c>
      <c r="CD328" s="3">
        <v>2</v>
      </c>
      <c r="CE328" s="19">
        <v>3</v>
      </c>
      <c r="CF328" s="3">
        <v>9</v>
      </c>
      <c r="CG328" s="19">
        <v>4</v>
      </c>
      <c r="CH328" s="3">
        <v>5</v>
      </c>
      <c r="CI328" s="3">
        <v>3</v>
      </c>
      <c r="CJ328" s="3">
        <v>1</v>
      </c>
      <c r="CK328" s="3">
        <v>3</v>
      </c>
      <c r="CT328" s="3">
        <v>5</v>
      </c>
      <c r="CU328" s="3">
        <v>1</v>
      </c>
      <c r="CV328" s="3">
        <v>1</v>
      </c>
      <c r="CX328" s="3">
        <v>1</v>
      </c>
      <c r="CY328" s="3">
        <v>1</v>
      </c>
      <c r="CZ328" s="3">
        <v>3</v>
      </c>
      <c r="DA328" s="3">
        <v>3</v>
      </c>
      <c r="DB328" s="3">
        <v>1</v>
      </c>
      <c r="DC328" s="3">
        <v>3</v>
      </c>
      <c r="DD328" s="3">
        <v>3</v>
      </c>
      <c r="DE328" s="3">
        <v>1</v>
      </c>
      <c r="DF328" s="3">
        <v>1</v>
      </c>
      <c r="DG328" s="3">
        <v>1</v>
      </c>
      <c r="DH328" s="3">
        <v>1</v>
      </c>
      <c r="DI328" s="3">
        <v>1</v>
      </c>
      <c r="DJ328" s="3">
        <v>1</v>
      </c>
      <c r="DK328" s="3">
        <v>1</v>
      </c>
      <c r="DQ328" s="19">
        <v>1</v>
      </c>
      <c r="DS328" s="1"/>
      <c r="DT328" s="1"/>
    </row>
    <row r="329" spans="1:142" s="3" customFormat="1" ht="15" customHeight="1" x14ac:dyDescent="0.25">
      <c r="A329" s="6" t="s">
        <v>468</v>
      </c>
      <c r="B329" s="2" t="s">
        <v>784</v>
      </c>
      <c r="C329" s="2" t="s">
        <v>1609</v>
      </c>
      <c r="D329" s="25" t="s">
        <v>1605</v>
      </c>
      <c r="E329" s="4" t="s">
        <v>1190</v>
      </c>
      <c r="F329" s="5"/>
      <c r="G329" s="29"/>
      <c r="H329" s="5"/>
      <c r="I329" s="5"/>
      <c r="J329" s="5"/>
      <c r="K329" s="1"/>
      <c r="L329" s="2"/>
      <c r="M329" s="5"/>
      <c r="N329" s="2" t="s">
        <v>1610</v>
      </c>
      <c r="O329" s="28" t="s">
        <v>2672</v>
      </c>
      <c r="Q329" s="27">
        <v>2</v>
      </c>
      <c r="S329" s="3">
        <v>1</v>
      </c>
      <c r="T329" s="3">
        <v>3</v>
      </c>
      <c r="U329" s="3">
        <v>9</v>
      </c>
      <c r="W329" s="3">
        <v>8</v>
      </c>
      <c r="AB329" s="3">
        <v>8</v>
      </c>
      <c r="AC329" s="3">
        <v>5</v>
      </c>
      <c r="AF329" s="3">
        <v>5</v>
      </c>
      <c r="AG329" s="3">
        <v>1</v>
      </c>
      <c r="AH329" s="3">
        <v>1</v>
      </c>
      <c r="AI329" s="3">
        <v>9</v>
      </c>
      <c r="AW329" s="3">
        <v>9</v>
      </c>
      <c r="AY329" s="3">
        <v>1</v>
      </c>
      <c r="BB329" s="3">
        <v>9</v>
      </c>
      <c r="BF329" s="3">
        <v>1.22</v>
      </c>
      <c r="BM329" s="3">
        <v>7</v>
      </c>
      <c r="BN329" s="3">
        <v>1</v>
      </c>
      <c r="BP329" s="3">
        <v>0</v>
      </c>
      <c r="BQ329" s="3">
        <v>1</v>
      </c>
      <c r="BR329" s="3">
        <v>2</v>
      </c>
      <c r="BS329" s="3">
        <v>1</v>
      </c>
      <c r="BT329" s="3">
        <v>1</v>
      </c>
      <c r="BU329" s="3">
        <v>1</v>
      </c>
      <c r="BV329" s="3">
        <v>2</v>
      </c>
      <c r="BW329" s="3">
        <v>1</v>
      </c>
      <c r="BY329" s="3">
        <v>1</v>
      </c>
      <c r="BZ329" s="3">
        <v>1</v>
      </c>
      <c r="CA329" s="3">
        <v>1</v>
      </c>
      <c r="CB329" s="3">
        <v>1</v>
      </c>
      <c r="CC329" s="3">
        <v>1</v>
      </c>
      <c r="CD329" s="3">
        <v>1</v>
      </c>
      <c r="CE329" s="19">
        <v>1</v>
      </c>
      <c r="CF329" s="3">
        <v>1</v>
      </c>
      <c r="CG329" s="19">
        <v>1</v>
      </c>
      <c r="CH329" s="3">
        <v>1</v>
      </c>
      <c r="CI329" s="3">
        <v>1</v>
      </c>
      <c r="CJ329" s="3">
        <v>1</v>
      </c>
      <c r="CK329" s="3">
        <v>1</v>
      </c>
      <c r="CL329" s="3">
        <v>1</v>
      </c>
      <c r="CT329" s="3">
        <v>1</v>
      </c>
      <c r="CU329" s="3">
        <v>1</v>
      </c>
      <c r="CV329" s="3">
        <v>1</v>
      </c>
      <c r="CW329" s="3">
        <v>1</v>
      </c>
      <c r="CX329" s="3">
        <v>1</v>
      </c>
      <c r="CY329" s="3">
        <v>1</v>
      </c>
      <c r="CZ329" s="3">
        <v>1</v>
      </c>
      <c r="DA329" s="3">
        <v>1</v>
      </c>
      <c r="DB329" s="3">
        <v>1</v>
      </c>
      <c r="DC329" s="3">
        <v>1</v>
      </c>
      <c r="DD329" s="3">
        <v>1</v>
      </c>
      <c r="DE329" s="3">
        <v>1</v>
      </c>
      <c r="DF329" s="3">
        <v>1</v>
      </c>
      <c r="DG329" s="3">
        <v>1</v>
      </c>
      <c r="DH329" s="3">
        <v>1</v>
      </c>
      <c r="DI329" s="3">
        <v>1</v>
      </c>
      <c r="DJ329" s="3">
        <v>1</v>
      </c>
      <c r="DK329" s="3">
        <v>1</v>
      </c>
      <c r="DQ329" s="19">
        <v>1</v>
      </c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</row>
    <row r="330" spans="1:142" s="3" customFormat="1" ht="15" customHeight="1" x14ac:dyDescent="0.25">
      <c r="A330" s="6" t="s">
        <v>469</v>
      </c>
      <c r="B330" s="2" t="s">
        <v>784</v>
      </c>
      <c r="C330" s="2" t="s">
        <v>1611</v>
      </c>
      <c r="D330" s="25" t="s">
        <v>1605</v>
      </c>
      <c r="E330" s="4" t="s">
        <v>1190</v>
      </c>
      <c r="F330" s="4" t="s">
        <v>793</v>
      </c>
      <c r="G330" s="26">
        <v>1975</v>
      </c>
      <c r="H330" s="5"/>
      <c r="I330" s="5"/>
      <c r="J330" s="5"/>
      <c r="K330" s="1"/>
      <c r="L330" s="2"/>
      <c r="M330" s="5"/>
      <c r="N330" s="2" t="s">
        <v>1612</v>
      </c>
      <c r="O330" s="28" t="s">
        <v>2673</v>
      </c>
      <c r="Q330" s="27">
        <v>2</v>
      </c>
      <c r="S330" s="3">
        <v>1</v>
      </c>
      <c r="T330" s="3">
        <v>3</v>
      </c>
      <c r="U330" s="3">
        <v>9</v>
      </c>
      <c r="BB330" s="3">
        <v>9</v>
      </c>
      <c r="BM330" s="3">
        <v>8</v>
      </c>
      <c r="BN330" s="3">
        <v>3</v>
      </c>
      <c r="BP330" s="3">
        <v>7</v>
      </c>
      <c r="BQ330" s="3">
        <v>1</v>
      </c>
      <c r="BR330" s="3">
        <v>1</v>
      </c>
      <c r="BS330" s="3">
        <v>1</v>
      </c>
      <c r="BT330" s="19">
        <v>3</v>
      </c>
      <c r="BU330" s="3">
        <v>1</v>
      </c>
      <c r="BV330" s="19">
        <v>3</v>
      </c>
      <c r="BW330" s="19">
        <v>1</v>
      </c>
      <c r="BX330" s="19">
        <v>5</v>
      </c>
      <c r="BY330" s="19">
        <v>1</v>
      </c>
      <c r="BZ330" s="19">
        <v>2</v>
      </c>
      <c r="CB330" s="19">
        <v>1</v>
      </c>
      <c r="CE330" s="19">
        <v>3</v>
      </c>
      <c r="CF330" s="3">
        <v>7</v>
      </c>
      <c r="CH330" s="3">
        <v>4</v>
      </c>
      <c r="CI330" s="3">
        <v>3</v>
      </c>
      <c r="CJ330" s="3">
        <v>2</v>
      </c>
      <c r="CK330" s="3">
        <v>2</v>
      </c>
      <c r="CT330" s="3">
        <v>1</v>
      </c>
      <c r="CU330" s="3">
        <v>1</v>
      </c>
      <c r="CV330" s="3">
        <v>1</v>
      </c>
      <c r="CW330" s="3">
        <v>1</v>
      </c>
      <c r="CX330" s="3">
        <v>1</v>
      </c>
      <c r="CY330" s="3">
        <v>1</v>
      </c>
      <c r="CZ330" s="3">
        <v>1</v>
      </c>
      <c r="DA330" s="3">
        <v>1</v>
      </c>
      <c r="DB330" s="3">
        <v>1</v>
      </c>
      <c r="DC330" s="3">
        <v>3</v>
      </c>
      <c r="DD330" s="3">
        <v>1</v>
      </c>
      <c r="DE330" s="3">
        <v>1</v>
      </c>
      <c r="DF330" s="3">
        <v>1</v>
      </c>
      <c r="DG330" s="3">
        <v>1</v>
      </c>
      <c r="DH330" s="3">
        <v>1</v>
      </c>
      <c r="DI330" s="3">
        <v>1</v>
      </c>
      <c r="DJ330" s="3">
        <v>1</v>
      </c>
      <c r="DK330" s="3">
        <v>1</v>
      </c>
      <c r="DQ330" s="19">
        <v>1</v>
      </c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</row>
    <row r="331" spans="1:142" s="3" customFormat="1" ht="15" customHeight="1" x14ac:dyDescent="0.25">
      <c r="A331" s="6" t="s">
        <v>470</v>
      </c>
      <c r="B331" s="2" t="s">
        <v>784</v>
      </c>
      <c r="C331" s="2" t="s">
        <v>1613</v>
      </c>
      <c r="D331" s="25" t="s">
        <v>1605</v>
      </c>
      <c r="E331" s="4" t="s">
        <v>1190</v>
      </c>
      <c r="F331" s="4" t="s">
        <v>1209</v>
      </c>
      <c r="G331" s="26">
        <v>1976</v>
      </c>
      <c r="H331" s="5"/>
      <c r="I331" s="5"/>
      <c r="J331" s="5"/>
      <c r="K331" s="1"/>
      <c r="L331" s="2"/>
      <c r="M331" s="5"/>
      <c r="N331" s="2" t="s">
        <v>1614</v>
      </c>
      <c r="O331" s="28" t="s">
        <v>2674</v>
      </c>
      <c r="Q331" s="27">
        <v>2</v>
      </c>
      <c r="S331" s="3">
        <v>1</v>
      </c>
      <c r="T331" s="3">
        <v>3</v>
      </c>
      <c r="U331" s="3">
        <v>9</v>
      </c>
      <c r="W331" s="3">
        <v>8</v>
      </c>
      <c r="AB331" s="3">
        <v>3</v>
      </c>
      <c r="AC331" s="3">
        <v>5</v>
      </c>
      <c r="AF331" s="3">
        <v>5</v>
      </c>
      <c r="AG331" s="3">
        <v>1</v>
      </c>
      <c r="AH331" s="3">
        <v>1</v>
      </c>
      <c r="AI331" s="3">
        <v>9</v>
      </c>
      <c r="AW331" s="3">
        <v>9</v>
      </c>
      <c r="AY331" s="3">
        <v>1</v>
      </c>
      <c r="BB331" s="3">
        <v>9</v>
      </c>
      <c r="BN331" s="3">
        <v>1</v>
      </c>
      <c r="BP331" s="3">
        <v>1</v>
      </c>
      <c r="BQ331" s="3">
        <v>1</v>
      </c>
      <c r="BR331" s="3">
        <v>1</v>
      </c>
      <c r="BS331" s="3">
        <v>1</v>
      </c>
      <c r="BT331" s="3">
        <v>1</v>
      </c>
      <c r="BU331" s="3">
        <v>1</v>
      </c>
      <c r="BV331" s="3">
        <v>1</v>
      </c>
      <c r="BW331" s="3">
        <v>1</v>
      </c>
      <c r="BX331" s="3">
        <v>1</v>
      </c>
      <c r="BY331" s="3">
        <v>3</v>
      </c>
      <c r="BZ331" s="3">
        <v>1</v>
      </c>
      <c r="CA331" s="3">
        <v>1</v>
      </c>
      <c r="CB331" s="3">
        <v>1</v>
      </c>
      <c r="CC331" s="3">
        <v>1</v>
      </c>
      <c r="CD331" s="3">
        <v>1</v>
      </c>
      <c r="CY331" s="3">
        <v>1</v>
      </c>
      <c r="CZ331" s="3">
        <v>1</v>
      </c>
      <c r="DA331" s="3">
        <v>1</v>
      </c>
      <c r="DB331" s="3">
        <v>1</v>
      </c>
      <c r="DC331" s="3">
        <v>1</v>
      </c>
      <c r="DD331" s="3">
        <v>1</v>
      </c>
      <c r="DE331" s="3">
        <v>1</v>
      </c>
      <c r="DF331" s="3">
        <v>1</v>
      </c>
      <c r="DG331" s="3">
        <v>1</v>
      </c>
      <c r="DH331" s="3">
        <v>1</v>
      </c>
      <c r="DI331" s="3">
        <v>1</v>
      </c>
      <c r="DJ331" s="3">
        <v>1</v>
      </c>
      <c r="DK331" s="3">
        <v>1</v>
      </c>
      <c r="DQ331" s="19">
        <v>1</v>
      </c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</row>
    <row r="332" spans="1:142" ht="15" customHeight="1" x14ac:dyDescent="0.25">
      <c r="A332" s="6" t="s">
        <v>471</v>
      </c>
      <c r="B332" s="2" t="s">
        <v>784</v>
      </c>
      <c r="C332" s="2" t="s">
        <v>1615</v>
      </c>
      <c r="D332" s="25" t="s">
        <v>1605</v>
      </c>
      <c r="E332" s="4" t="s">
        <v>1190</v>
      </c>
      <c r="F332" s="4" t="s">
        <v>1209</v>
      </c>
      <c r="G332" s="26">
        <v>1976</v>
      </c>
      <c r="H332" s="5"/>
      <c r="I332" s="5"/>
      <c r="J332" s="5"/>
      <c r="K332" s="3"/>
      <c r="M332" s="5"/>
      <c r="N332" s="2" t="s">
        <v>1616</v>
      </c>
      <c r="O332" s="28" t="s">
        <v>2675</v>
      </c>
      <c r="P332" s="3"/>
      <c r="Q332" s="27">
        <v>2</v>
      </c>
      <c r="R332" s="3"/>
      <c r="S332" s="3">
        <v>1</v>
      </c>
      <c r="T332" s="3">
        <v>3</v>
      </c>
      <c r="U332" s="3"/>
      <c r="V332" s="3"/>
      <c r="W332" s="3">
        <v>4</v>
      </c>
      <c r="X332" s="3"/>
      <c r="Z332" s="3"/>
      <c r="AA332" s="3"/>
      <c r="AB332" s="3">
        <v>8</v>
      </c>
      <c r="AC332" s="3">
        <v>7</v>
      </c>
      <c r="AD332" s="3"/>
      <c r="AE332" s="3"/>
      <c r="AF332" s="3">
        <v>2</v>
      </c>
      <c r="AG332" s="3">
        <v>1</v>
      </c>
      <c r="AH332" s="3">
        <v>1</v>
      </c>
      <c r="AI332" s="3">
        <v>9</v>
      </c>
      <c r="AJ332" s="3">
        <v>3</v>
      </c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>
        <v>9</v>
      </c>
      <c r="AX332" s="3">
        <v>2</v>
      </c>
      <c r="AY332" s="3">
        <v>1</v>
      </c>
      <c r="AZ332" s="3">
        <v>1</v>
      </c>
      <c r="BA332" s="3">
        <v>1</v>
      </c>
      <c r="BB332" s="3">
        <v>9</v>
      </c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>
        <v>1</v>
      </c>
      <c r="BO332" s="3"/>
      <c r="BP332" s="3">
        <v>0</v>
      </c>
      <c r="BQ332" s="3">
        <v>1</v>
      </c>
      <c r="BR332" s="3">
        <v>1</v>
      </c>
      <c r="BS332" s="3">
        <v>1</v>
      </c>
      <c r="BT332" s="3">
        <v>1</v>
      </c>
      <c r="BU332" s="3">
        <v>1</v>
      </c>
      <c r="BV332" s="3">
        <v>3</v>
      </c>
      <c r="BW332" s="3">
        <v>3</v>
      </c>
      <c r="BX332" s="3">
        <v>1</v>
      </c>
      <c r="BY332" s="3">
        <v>1</v>
      </c>
      <c r="BZ332" s="3">
        <v>3</v>
      </c>
      <c r="CA332" s="3">
        <v>3</v>
      </c>
      <c r="CB332" s="3">
        <v>1</v>
      </c>
      <c r="CC332" s="3">
        <v>1</v>
      </c>
      <c r="CD332" s="3">
        <v>1</v>
      </c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T332" s="3"/>
      <c r="CU332" s="3"/>
      <c r="CV332" s="3"/>
      <c r="CW332" s="3"/>
      <c r="CX332" s="3"/>
      <c r="CY332" s="3">
        <v>1</v>
      </c>
      <c r="CZ332" s="3">
        <v>1</v>
      </c>
      <c r="DA332" s="3">
        <v>1</v>
      </c>
      <c r="DB332" s="3">
        <v>3</v>
      </c>
      <c r="DC332" s="3">
        <v>1</v>
      </c>
      <c r="DD332" s="3">
        <v>1</v>
      </c>
      <c r="DE332" s="3">
        <v>3</v>
      </c>
      <c r="DF332" s="3">
        <v>1</v>
      </c>
      <c r="DG332" s="3">
        <v>1</v>
      </c>
      <c r="DH332" s="3">
        <v>1</v>
      </c>
      <c r="DI332" s="3">
        <v>1</v>
      </c>
      <c r="DJ332" s="3">
        <v>1</v>
      </c>
      <c r="DK332" s="3">
        <v>1</v>
      </c>
      <c r="DL332" s="3"/>
      <c r="DM332" s="3"/>
      <c r="DN332" s="3"/>
      <c r="DO332" s="3"/>
      <c r="DP332" s="3"/>
      <c r="DQ332" s="19">
        <v>1</v>
      </c>
      <c r="DR332" s="3"/>
      <c r="DS332" s="3"/>
      <c r="DT332" s="3"/>
    </row>
    <row r="333" spans="1:142" ht="15" customHeight="1" x14ac:dyDescent="0.25">
      <c r="A333" s="6" t="s">
        <v>472</v>
      </c>
      <c r="B333" s="2" t="s">
        <v>784</v>
      </c>
      <c r="C333" s="2" t="s">
        <v>1617</v>
      </c>
      <c r="D333" s="25" t="s">
        <v>1605</v>
      </c>
      <c r="E333" s="4" t="s">
        <v>1190</v>
      </c>
      <c r="F333" s="4" t="s">
        <v>1209</v>
      </c>
      <c r="G333" s="26">
        <v>1976</v>
      </c>
      <c r="H333" s="5"/>
      <c r="I333" s="5"/>
      <c r="J333" s="5"/>
      <c r="K333" s="3"/>
      <c r="M333" s="5"/>
      <c r="N333" s="2" t="s">
        <v>1618</v>
      </c>
      <c r="O333" s="28" t="s">
        <v>2676</v>
      </c>
      <c r="P333" s="3"/>
      <c r="Q333" s="27">
        <v>2</v>
      </c>
      <c r="R333" s="19">
        <v>5</v>
      </c>
      <c r="S333" s="3"/>
      <c r="T333" s="3"/>
      <c r="U333" s="3">
        <v>9</v>
      </c>
      <c r="V333" s="3"/>
      <c r="W333" s="3">
        <v>8</v>
      </c>
      <c r="X333" s="3"/>
      <c r="Z333" s="3"/>
      <c r="AA333" s="3"/>
      <c r="AB333" s="3">
        <v>8</v>
      </c>
      <c r="AC333" s="3">
        <v>7</v>
      </c>
      <c r="AD333" s="3"/>
      <c r="AE333" s="3"/>
      <c r="AF333" s="3">
        <v>5</v>
      </c>
      <c r="AG333" s="3">
        <v>1</v>
      </c>
      <c r="AH333" s="3">
        <v>1</v>
      </c>
      <c r="AI333" s="3">
        <v>9</v>
      </c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>
        <v>9</v>
      </c>
      <c r="AX333" s="3"/>
      <c r="AY333" s="3">
        <v>1</v>
      </c>
      <c r="AZ333" s="3"/>
      <c r="BA333" s="3"/>
      <c r="BB333" s="3">
        <v>9</v>
      </c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>
        <v>7</v>
      </c>
      <c r="BN333" s="3">
        <v>3</v>
      </c>
      <c r="BO333" s="3"/>
      <c r="BP333" s="3">
        <v>0</v>
      </c>
      <c r="BQ333" s="3">
        <v>1</v>
      </c>
      <c r="BR333" s="3">
        <v>1</v>
      </c>
      <c r="BS333" s="3">
        <v>1</v>
      </c>
      <c r="BT333" s="3">
        <v>1</v>
      </c>
      <c r="BU333" s="3">
        <v>1</v>
      </c>
      <c r="BV333" s="3">
        <v>1</v>
      </c>
      <c r="BW333" s="3">
        <v>1</v>
      </c>
      <c r="BX333" s="3"/>
      <c r="BY333" s="3">
        <v>1</v>
      </c>
      <c r="BZ333" s="3">
        <v>1</v>
      </c>
      <c r="CA333" s="3">
        <v>1</v>
      </c>
      <c r="CB333" s="3">
        <v>1</v>
      </c>
      <c r="CC333" s="3">
        <v>1</v>
      </c>
      <c r="CD333" s="3">
        <v>1</v>
      </c>
      <c r="CE333" s="19">
        <v>1</v>
      </c>
      <c r="CF333" s="3">
        <v>1</v>
      </c>
      <c r="CG333" s="19">
        <v>1</v>
      </c>
      <c r="CH333" s="3">
        <v>1</v>
      </c>
      <c r="CI333" s="3">
        <v>1</v>
      </c>
      <c r="CJ333" s="3">
        <v>1</v>
      </c>
      <c r="CK333" s="3">
        <v>1</v>
      </c>
      <c r="CL333" s="3">
        <v>1</v>
      </c>
      <c r="CM333" s="3"/>
      <c r="CN333" s="3"/>
      <c r="CO333" s="3"/>
      <c r="CP333" s="3"/>
      <c r="CT333" s="3">
        <v>1</v>
      </c>
      <c r="CU333" s="3">
        <v>1</v>
      </c>
      <c r="CV333" s="3">
        <v>1</v>
      </c>
      <c r="CW333" s="3">
        <v>1</v>
      </c>
      <c r="CX333" s="3">
        <v>1</v>
      </c>
      <c r="CY333" s="3">
        <v>1</v>
      </c>
      <c r="CZ333" s="3">
        <v>1</v>
      </c>
      <c r="DA333" s="3">
        <v>1</v>
      </c>
      <c r="DB333" s="3">
        <v>1</v>
      </c>
      <c r="DC333" s="3">
        <v>1</v>
      </c>
      <c r="DD333" s="3">
        <v>1</v>
      </c>
      <c r="DE333" s="3">
        <v>1</v>
      </c>
      <c r="DF333" s="3">
        <v>1</v>
      </c>
      <c r="DG333" s="3">
        <v>1</v>
      </c>
      <c r="DH333" s="3">
        <v>1</v>
      </c>
      <c r="DI333" s="3">
        <v>1</v>
      </c>
      <c r="DJ333" s="3">
        <v>1</v>
      </c>
      <c r="DK333" s="3">
        <v>1</v>
      </c>
      <c r="DL333" s="3"/>
      <c r="DM333" s="3"/>
      <c r="DN333" s="3"/>
      <c r="DO333" s="3"/>
      <c r="DP333" s="3"/>
      <c r="DQ333" s="19">
        <v>1</v>
      </c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</row>
    <row r="334" spans="1:142" ht="15" customHeight="1" x14ac:dyDescent="0.25">
      <c r="A334" s="6" t="s">
        <v>473</v>
      </c>
      <c r="B334" s="2" t="s">
        <v>784</v>
      </c>
      <c r="C334" s="2" t="s">
        <v>1619</v>
      </c>
      <c r="D334" s="25" t="s">
        <v>1605</v>
      </c>
      <c r="E334" s="4" t="s">
        <v>1190</v>
      </c>
      <c r="F334" s="4" t="s">
        <v>1209</v>
      </c>
      <c r="G334" s="26">
        <v>1976</v>
      </c>
      <c r="H334" s="5"/>
      <c r="I334" s="5"/>
      <c r="J334" s="5"/>
      <c r="K334" s="3"/>
      <c r="M334" s="5"/>
      <c r="N334" s="2" t="s">
        <v>1620</v>
      </c>
      <c r="O334" s="28" t="s">
        <v>2677</v>
      </c>
      <c r="P334" s="3"/>
      <c r="Q334" s="27">
        <v>2</v>
      </c>
      <c r="R334" s="3"/>
      <c r="S334" s="3">
        <v>1</v>
      </c>
      <c r="T334" s="3">
        <v>3</v>
      </c>
      <c r="U334" s="3">
        <v>9</v>
      </c>
      <c r="V334" s="3"/>
      <c r="W334" s="3">
        <v>3</v>
      </c>
      <c r="X334" s="3"/>
      <c r="Z334" s="3"/>
      <c r="AA334" s="3"/>
      <c r="AB334" s="3">
        <v>7</v>
      </c>
      <c r="AC334" s="3">
        <v>7</v>
      </c>
      <c r="AD334" s="3"/>
      <c r="AE334" s="3"/>
      <c r="AF334" s="3">
        <v>3</v>
      </c>
      <c r="AG334" s="3">
        <v>1</v>
      </c>
      <c r="AH334" s="3">
        <v>1</v>
      </c>
      <c r="AI334" s="3">
        <v>9</v>
      </c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>
        <v>9</v>
      </c>
      <c r="AX334" s="3"/>
      <c r="AY334" s="3">
        <v>1</v>
      </c>
      <c r="AZ334" s="3"/>
      <c r="BA334" s="3"/>
      <c r="BB334" s="3">
        <v>9</v>
      </c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>
        <v>2</v>
      </c>
      <c r="BO334" s="3"/>
      <c r="BP334" s="3">
        <v>2</v>
      </c>
      <c r="BQ334" s="3">
        <v>1</v>
      </c>
      <c r="BR334" s="3">
        <v>1</v>
      </c>
      <c r="BS334" s="3">
        <v>5</v>
      </c>
      <c r="BT334" s="3">
        <v>1</v>
      </c>
      <c r="BU334" s="3">
        <v>1</v>
      </c>
      <c r="BV334" s="3">
        <v>1</v>
      </c>
      <c r="BW334" s="3">
        <v>1</v>
      </c>
      <c r="BX334" s="3">
        <v>1</v>
      </c>
      <c r="BY334" s="3">
        <v>1</v>
      </c>
      <c r="BZ334" s="3">
        <v>1</v>
      </c>
      <c r="CA334" s="3">
        <v>1</v>
      </c>
      <c r="CB334" s="3">
        <v>1</v>
      </c>
      <c r="CC334" s="3">
        <v>1</v>
      </c>
      <c r="CD334" s="3">
        <v>1</v>
      </c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T334" s="3"/>
      <c r="CU334" s="3"/>
      <c r="CV334" s="3"/>
      <c r="CW334" s="3"/>
      <c r="CX334" s="3"/>
      <c r="CY334" s="3">
        <v>1</v>
      </c>
      <c r="CZ334" s="3">
        <v>1</v>
      </c>
      <c r="DA334" s="3">
        <v>1</v>
      </c>
      <c r="DB334" s="3">
        <v>1</v>
      </c>
      <c r="DC334" s="3">
        <v>1</v>
      </c>
      <c r="DD334" s="3">
        <v>1</v>
      </c>
      <c r="DE334" s="3">
        <v>1</v>
      </c>
      <c r="DF334" s="3">
        <v>1</v>
      </c>
      <c r="DG334" s="3">
        <v>1</v>
      </c>
      <c r="DH334" s="3">
        <v>1</v>
      </c>
      <c r="DI334" s="3">
        <v>1</v>
      </c>
      <c r="DJ334" s="3">
        <v>1</v>
      </c>
      <c r="DK334" s="3">
        <v>1</v>
      </c>
      <c r="DL334" s="3"/>
      <c r="DM334" s="3"/>
      <c r="DN334" s="3"/>
      <c r="DO334" s="3"/>
      <c r="DP334" s="3"/>
      <c r="DQ334" s="19">
        <v>1</v>
      </c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</row>
    <row r="335" spans="1:142" ht="15" customHeight="1" x14ac:dyDescent="0.25">
      <c r="A335" s="6" t="s">
        <v>474</v>
      </c>
      <c r="B335" s="2" t="s">
        <v>784</v>
      </c>
      <c r="C335" s="2" t="s">
        <v>1621</v>
      </c>
      <c r="D335" s="25" t="s">
        <v>1605</v>
      </c>
      <c r="E335" s="4" t="s">
        <v>1190</v>
      </c>
      <c r="F335" s="4" t="s">
        <v>1209</v>
      </c>
      <c r="G335" s="26">
        <v>1976</v>
      </c>
      <c r="H335" s="5"/>
      <c r="I335" s="5"/>
      <c r="J335" s="3"/>
      <c r="K335" s="3"/>
      <c r="M335" s="5"/>
      <c r="N335" s="2" t="s">
        <v>1622</v>
      </c>
      <c r="O335" s="28" t="s">
        <v>2678</v>
      </c>
      <c r="P335" s="3"/>
      <c r="Q335" s="27">
        <v>2</v>
      </c>
      <c r="R335" s="3"/>
      <c r="S335" s="3">
        <v>1</v>
      </c>
      <c r="T335" s="3">
        <v>3</v>
      </c>
      <c r="U335" s="3">
        <v>9</v>
      </c>
      <c r="V335" s="3"/>
      <c r="W335" s="3">
        <v>4</v>
      </c>
      <c r="X335" s="3"/>
      <c r="Z335" s="3"/>
      <c r="AA335" s="3"/>
      <c r="AB335" s="3">
        <v>8</v>
      </c>
      <c r="AC335" s="3">
        <v>7</v>
      </c>
      <c r="AD335" s="3"/>
      <c r="AE335" s="3"/>
      <c r="AF335" s="3">
        <v>3</v>
      </c>
      <c r="AG335" s="3">
        <v>1</v>
      </c>
      <c r="AH335" s="3">
        <v>1</v>
      </c>
      <c r="AI335" s="3">
        <v>9</v>
      </c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>
        <v>9</v>
      </c>
      <c r="AX335" s="3"/>
      <c r="AY335" s="3">
        <v>9</v>
      </c>
      <c r="AZ335" s="3"/>
      <c r="BA335" s="3"/>
      <c r="BB335" s="3">
        <v>9</v>
      </c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>
        <v>7</v>
      </c>
      <c r="BN335" s="3">
        <v>4</v>
      </c>
      <c r="BO335" s="3"/>
      <c r="BP335" s="3">
        <v>0</v>
      </c>
      <c r="BQ335" s="3">
        <v>1</v>
      </c>
      <c r="BR335" s="3">
        <v>1</v>
      </c>
      <c r="BS335" s="3">
        <v>1</v>
      </c>
      <c r="BT335" s="3">
        <v>1</v>
      </c>
      <c r="BU335" s="3">
        <v>1</v>
      </c>
      <c r="BV335" s="3">
        <v>1</v>
      </c>
      <c r="BW335" s="3">
        <v>1</v>
      </c>
      <c r="BX335" s="3">
        <v>3</v>
      </c>
      <c r="BY335" s="3">
        <v>1</v>
      </c>
      <c r="BZ335" s="3">
        <v>1</v>
      </c>
      <c r="CA335" s="3">
        <v>1</v>
      </c>
      <c r="CB335" s="3">
        <v>1</v>
      </c>
      <c r="CC335" s="3">
        <v>1</v>
      </c>
      <c r="CD335" s="3">
        <v>1</v>
      </c>
      <c r="CE335" s="19">
        <v>2</v>
      </c>
      <c r="CF335" s="3">
        <v>1</v>
      </c>
      <c r="CG335" s="19">
        <v>1</v>
      </c>
      <c r="CH335" s="3">
        <v>1</v>
      </c>
      <c r="CI335" s="3">
        <v>1</v>
      </c>
      <c r="CJ335" s="3">
        <v>1</v>
      </c>
      <c r="CK335" s="3">
        <v>1</v>
      </c>
      <c r="CL335" s="3">
        <v>1</v>
      </c>
      <c r="CM335" s="3"/>
      <c r="CN335" s="3"/>
      <c r="CO335" s="3"/>
      <c r="CP335" s="3"/>
      <c r="CT335" s="3">
        <v>1</v>
      </c>
      <c r="CU335" s="3">
        <v>1</v>
      </c>
      <c r="CV335" s="3">
        <v>1</v>
      </c>
      <c r="CW335" s="3">
        <v>1</v>
      </c>
      <c r="CX335" s="3">
        <v>1</v>
      </c>
      <c r="CY335" s="3">
        <v>1</v>
      </c>
      <c r="CZ335" s="3">
        <v>1</v>
      </c>
      <c r="DA335" s="3">
        <v>1</v>
      </c>
      <c r="DB335" s="3">
        <v>1</v>
      </c>
      <c r="DC335" s="3">
        <v>1</v>
      </c>
      <c r="DD335" s="3">
        <v>1</v>
      </c>
      <c r="DE335" s="3">
        <v>1</v>
      </c>
      <c r="DF335" s="3">
        <v>1</v>
      </c>
      <c r="DG335" s="3">
        <v>1</v>
      </c>
      <c r="DH335" s="3">
        <v>1</v>
      </c>
      <c r="DI335" s="3">
        <v>1</v>
      </c>
      <c r="DJ335" s="3">
        <v>1</v>
      </c>
      <c r="DK335" s="3">
        <v>1</v>
      </c>
      <c r="DL335" s="3">
        <v>1</v>
      </c>
      <c r="DM335" s="3">
        <v>1</v>
      </c>
      <c r="DN335" s="3">
        <v>1</v>
      </c>
      <c r="DO335" s="3">
        <v>1</v>
      </c>
      <c r="DP335" s="3"/>
      <c r="DQ335" s="19">
        <v>1</v>
      </c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</row>
    <row r="336" spans="1:142" ht="15" customHeight="1" x14ac:dyDescent="0.25">
      <c r="A336" s="6" t="s">
        <v>475</v>
      </c>
      <c r="B336" s="2" t="s">
        <v>784</v>
      </c>
      <c r="C336" s="2" t="s">
        <v>1623</v>
      </c>
      <c r="D336" s="25" t="s">
        <v>1605</v>
      </c>
      <c r="E336" s="4" t="s">
        <v>1190</v>
      </c>
      <c r="F336" s="4" t="s">
        <v>1209</v>
      </c>
      <c r="G336" s="26">
        <v>1976</v>
      </c>
      <c r="H336" s="5"/>
      <c r="I336" s="5"/>
      <c r="J336" s="3"/>
      <c r="K336" s="3"/>
      <c r="M336" s="5"/>
      <c r="N336" s="2" t="s">
        <v>1624</v>
      </c>
      <c r="O336" s="28" t="s">
        <v>2679</v>
      </c>
      <c r="P336" s="3"/>
      <c r="Q336" s="27">
        <v>2</v>
      </c>
      <c r="R336" s="19">
        <v>5</v>
      </c>
      <c r="S336" s="3"/>
      <c r="T336" s="3"/>
      <c r="U336" s="3">
        <v>9</v>
      </c>
      <c r="V336" s="3"/>
      <c r="W336" s="3">
        <v>8</v>
      </c>
      <c r="X336" s="3"/>
      <c r="Z336" s="3"/>
      <c r="AA336" s="3"/>
      <c r="AB336" s="3">
        <v>3</v>
      </c>
      <c r="AC336" s="3">
        <v>7</v>
      </c>
      <c r="AD336" s="3"/>
      <c r="AE336" s="3"/>
      <c r="AF336" s="3">
        <v>3</v>
      </c>
      <c r="AG336" s="3">
        <v>1</v>
      </c>
      <c r="AH336" s="3">
        <v>1</v>
      </c>
      <c r="AI336" s="3">
        <v>9</v>
      </c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>
        <v>9</v>
      </c>
      <c r="AX336" s="3"/>
      <c r="AY336" s="3">
        <v>9</v>
      </c>
      <c r="AZ336" s="3"/>
      <c r="BA336" s="3"/>
      <c r="BB336" s="3">
        <v>9</v>
      </c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>
        <v>2</v>
      </c>
      <c r="BO336" s="3"/>
      <c r="BP336" s="3">
        <v>4</v>
      </c>
      <c r="BQ336" s="3">
        <v>1</v>
      </c>
      <c r="BR336" s="3">
        <v>1</v>
      </c>
      <c r="BS336" s="3">
        <v>5</v>
      </c>
      <c r="BT336" s="3">
        <v>1</v>
      </c>
      <c r="BU336" s="3">
        <v>1</v>
      </c>
      <c r="BV336" s="3">
        <v>1</v>
      </c>
      <c r="BW336" s="3">
        <v>1</v>
      </c>
      <c r="BX336" s="3">
        <v>1</v>
      </c>
      <c r="BY336" s="3">
        <v>1</v>
      </c>
      <c r="BZ336" s="3">
        <v>1</v>
      </c>
      <c r="CA336" s="3">
        <v>1</v>
      </c>
      <c r="CB336" s="3">
        <v>1</v>
      </c>
      <c r="CC336" s="3">
        <v>1</v>
      </c>
      <c r="CD336" s="3">
        <v>1</v>
      </c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T336" s="3"/>
      <c r="CU336" s="3"/>
      <c r="CV336" s="3"/>
      <c r="CW336" s="3"/>
      <c r="CX336" s="3"/>
      <c r="CY336" s="3">
        <v>1</v>
      </c>
      <c r="CZ336" s="3">
        <v>1</v>
      </c>
      <c r="DA336" s="3">
        <v>1</v>
      </c>
      <c r="DB336" s="3">
        <v>1</v>
      </c>
      <c r="DC336" s="3">
        <v>1</v>
      </c>
      <c r="DD336" s="3">
        <v>1</v>
      </c>
      <c r="DE336" s="3">
        <v>1</v>
      </c>
      <c r="DF336" s="3">
        <v>1</v>
      </c>
      <c r="DG336" s="3">
        <v>1</v>
      </c>
      <c r="DH336" s="3">
        <v>1</v>
      </c>
      <c r="DI336" s="3">
        <v>1</v>
      </c>
      <c r="DJ336" s="3">
        <v>1</v>
      </c>
      <c r="DK336" s="3">
        <v>1</v>
      </c>
      <c r="DL336" s="3"/>
      <c r="DM336" s="3"/>
      <c r="DN336" s="3"/>
      <c r="DO336" s="3"/>
      <c r="DP336" s="3"/>
      <c r="DQ336" s="19">
        <v>1</v>
      </c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</row>
    <row r="337" spans="1:142" ht="15" customHeight="1" x14ac:dyDescent="0.25">
      <c r="A337" s="6" t="s">
        <v>476</v>
      </c>
      <c r="B337" s="2" t="s">
        <v>784</v>
      </c>
      <c r="C337" s="2" t="s">
        <v>1625</v>
      </c>
      <c r="D337" s="25" t="s">
        <v>1605</v>
      </c>
      <c r="E337" s="4" t="s">
        <v>1190</v>
      </c>
      <c r="F337" s="4" t="s">
        <v>1209</v>
      </c>
      <c r="G337" s="26">
        <v>1976</v>
      </c>
      <c r="H337" s="5"/>
      <c r="I337" s="5"/>
      <c r="J337" s="3"/>
      <c r="K337" s="3"/>
      <c r="M337" s="4" t="s">
        <v>1258</v>
      </c>
      <c r="N337" s="2" t="s">
        <v>1626</v>
      </c>
      <c r="O337" s="28" t="s">
        <v>2680</v>
      </c>
      <c r="P337" s="3"/>
      <c r="Q337" s="27">
        <v>2</v>
      </c>
      <c r="R337" s="3"/>
      <c r="S337" s="3">
        <v>1</v>
      </c>
      <c r="T337" s="3">
        <v>3</v>
      </c>
      <c r="U337" s="3"/>
      <c r="V337" s="3"/>
      <c r="W337" s="3">
        <v>3</v>
      </c>
      <c r="X337" s="3"/>
      <c r="Z337" s="3"/>
      <c r="AA337" s="3"/>
      <c r="AB337" s="3">
        <v>6</v>
      </c>
      <c r="AC337" s="3">
        <v>7</v>
      </c>
      <c r="AD337" s="3"/>
      <c r="AE337" s="3"/>
      <c r="AF337" s="3">
        <v>3</v>
      </c>
      <c r="AG337" s="3">
        <v>1</v>
      </c>
      <c r="AH337" s="3">
        <v>1</v>
      </c>
      <c r="AI337" s="3">
        <v>9</v>
      </c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>
        <v>9</v>
      </c>
      <c r="AX337" s="3"/>
      <c r="AY337" s="3">
        <v>9</v>
      </c>
      <c r="AZ337" s="3"/>
      <c r="BA337" s="3"/>
      <c r="BB337" s="3">
        <v>9</v>
      </c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>
        <v>8</v>
      </c>
      <c r="BN337" s="3">
        <v>4</v>
      </c>
      <c r="BO337" s="3"/>
      <c r="BP337" s="3">
        <v>0</v>
      </c>
      <c r="BQ337" s="3">
        <v>1</v>
      </c>
      <c r="BR337" s="3">
        <v>1</v>
      </c>
      <c r="BS337" s="3">
        <v>1</v>
      </c>
      <c r="BT337" s="3">
        <v>1</v>
      </c>
      <c r="BU337" s="3">
        <v>1</v>
      </c>
      <c r="BV337" s="3">
        <v>1</v>
      </c>
      <c r="BW337" s="3">
        <v>1</v>
      </c>
      <c r="BX337" s="3"/>
      <c r="BY337" s="3">
        <v>1</v>
      </c>
      <c r="BZ337" s="3">
        <v>1</v>
      </c>
      <c r="CA337" s="3">
        <v>1</v>
      </c>
      <c r="CB337" s="3">
        <v>1</v>
      </c>
      <c r="CC337" s="3">
        <v>1</v>
      </c>
      <c r="CD337" s="3">
        <v>1</v>
      </c>
      <c r="CE337" s="19">
        <v>3</v>
      </c>
      <c r="CF337" s="3">
        <v>1</v>
      </c>
      <c r="CG337" s="19">
        <v>1</v>
      </c>
      <c r="CH337" s="3">
        <v>1</v>
      </c>
      <c r="CI337" s="3">
        <v>1</v>
      </c>
      <c r="CJ337" s="3">
        <v>1</v>
      </c>
      <c r="CK337" s="3">
        <v>1</v>
      </c>
      <c r="CL337" s="3">
        <v>1</v>
      </c>
      <c r="CM337" s="3"/>
      <c r="CN337" s="3"/>
      <c r="CO337" s="3"/>
      <c r="CP337" s="3"/>
      <c r="CT337" s="3">
        <v>1</v>
      </c>
      <c r="CU337" s="3">
        <v>1</v>
      </c>
      <c r="CV337" s="3">
        <v>1</v>
      </c>
      <c r="CW337" s="3">
        <v>1</v>
      </c>
      <c r="CX337" s="3">
        <v>1</v>
      </c>
      <c r="CY337" s="3">
        <v>1</v>
      </c>
      <c r="CZ337" s="3">
        <v>1</v>
      </c>
      <c r="DA337" s="3">
        <v>1</v>
      </c>
      <c r="DB337" s="3">
        <v>1</v>
      </c>
      <c r="DC337" s="3">
        <v>1</v>
      </c>
      <c r="DD337" s="3">
        <v>1</v>
      </c>
      <c r="DE337" s="3">
        <v>1</v>
      </c>
      <c r="DF337" s="3">
        <v>1</v>
      </c>
      <c r="DG337" s="3">
        <v>1</v>
      </c>
      <c r="DH337" s="3">
        <v>1</v>
      </c>
      <c r="DI337" s="3">
        <v>1</v>
      </c>
      <c r="DJ337" s="3">
        <v>1</v>
      </c>
      <c r="DK337" s="3">
        <v>1</v>
      </c>
      <c r="DL337" s="3"/>
      <c r="DM337" s="3"/>
      <c r="DN337" s="3"/>
      <c r="DO337" s="3"/>
      <c r="DP337" s="3"/>
      <c r="DQ337" s="19">
        <v>9</v>
      </c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</row>
    <row r="338" spans="1:142" s="3" customFormat="1" ht="15" customHeight="1" x14ac:dyDescent="0.25">
      <c r="A338" s="6" t="s">
        <v>477</v>
      </c>
      <c r="B338" s="2" t="s">
        <v>784</v>
      </c>
      <c r="C338" s="2" t="s">
        <v>1627</v>
      </c>
      <c r="D338" s="25" t="s">
        <v>1605</v>
      </c>
      <c r="E338" s="4" t="s">
        <v>1190</v>
      </c>
      <c r="F338" s="4" t="s">
        <v>1209</v>
      </c>
      <c r="G338" s="26">
        <v>1976</v>
      </c>
      <c r="H338" s="5"/>
      <c r="I338" s="5"/>
      <c r="J338" s="5"/>
      <c r="L338" s="2"/>
      <c r="M338" s="5"/>
      <c r="N338" s="2" t="s">
        <v>1628</v>
      </c>
      <c r="O338" s="28" t="s">
        <v>2681</v>
      </c>
      <c r="Q338" s="27">
        <v>2</v>
      </c>
      <c r="S338" s="3">
        <v>1</v>
      </c>
      <c r="T338" s="3">
        <v>3</v>
      </c>
      <c r="U338" s="3">
        <v>9</v>
      </c>
      <c r="W338" s="3">
        <v>4</v>
      </c>
      <c r="AB338" s="3">
        <v>7</v>
      </c>
      <c r="AC338" s="3">
        <v>6</v>
      </c>
      <c r="AF338" s="3">
        <v>2</v>
      </c>
      <c r="AG338" s="3">
        <v>1</v>
      </c>
      <c r="AH338" s="3">
        <v>1</v>
      </c>
      <c r="AI338" s="3">
        <v>9</v>
      </c>
      <c r="AJ338" s="3">
        <v>3</v>
      </c>
      <c r="AW338" s="3">
        <v>9</v>
      </c>
      <c r="AX338" s="3">
        <v>3</v>
      </c>
      <c r="AY338" s="3">
        <v>9</v>
      </c>
      <c r="AZ338" s="3">
        <v>3</v>
      </c>
      <c r="BA338" s="3">
        <v>1</v>
      </c>
      <c r="BB338" s="3">
        <v>9</v>
      </c>
      <c r="BN338" s="3">
        <v>1</v>
      </c>
      <c r="BP338" s="3">
        <v>0</v>
      </c>
      <c r="BQ338" s="3">
        <v>1</v>
      </c>
      <c r="BR338" s="3">
        <v>1</v>
      </c>
      <c r="BS338" s="3">
        <v>3</v>
      </c>
      <c r="BT338" s="3">
        <v>1</v>
      </c>
      <c r="BU338" s="3">
        <v>3</v>
      </c>
      <c r="BV338" s="3">
        <v>7</v>
      </c>
      <c r="BW338" s="3">
        <v>3</v>
      </c>
      <c r="BX338" s="3">
        <v>3</v>
      </c>
      <c r="BY338" s="3">
        <v>1</v>
      </c>
      <c r="BZ338" s="3">
        <v>1</v>
      </c>
      <c r="CA338" s="3">
        <v>3</v>
      </c>
      <c r="CB338" s="3">
        <v>1</v>
      </c>
      <c r="CC338" s="3">
        <v>3</v>
      </c>
      <c r="CD338" s="3">
        <v>1</v>
      </c>
      <c r="CY338" s="3">
        <v>1</v>
      </c>
      <c r="CZ338" s="3">
        <v>3</v>
      </c>
      <c r="DA338" s="3">
        <v>3</v>
      </c>
      <c r="DB338" s="3">
        <v>1</v>
      </c>
      <c r="DC338" s="3">
        <v>3</v>
      </c>
      <c r="DD338" s="3">
        <v>1</v>
      </c>
      <c r="DE338" s="3">
        <v>1</v>
      </c>
      <c r="DL338" s="3">
        <v>1</v>
      </c>
      <c r="DM338" s="3">
        <v>1</v>
      </c>
      <c r="DN338" s="3">
        <v>1</v>
      </c>
      <c r="DO338" s="3">
        <v>1</v>
      </c>
      <c r="DQ338" s="19">
        <v>9</v>
      </c>
    </row>
    <row r="339" spans="1:142" s="3" customFormat="1" ht="15" customHeight="1" x14ac:dyDescent="0.25">
      <c r="A339" s="6" t="s">
        <v>478</v>
      </c>
      <c r="B339" s="2" t="s">
        <v>784</v>
      </c>
      <c r="C339" s="2" t="s">
        <v>1629</v>
      </c>
      <c r="D339" s="25" t="s">
        <v>1605</v>
      </c>
      <c r="E339" s="4" t="s">
        <v>1190</v>
      </c>
      <c r="F339" s="4" t="s">
        <v>1209</v>
      </c>
      <c r="G339" s="26">
        <v>1976</v>
      </c>
      <c r="H339" s="5"/>
      <c r="I339" s="5"/>
      <c r="J339" s="5"/>
      <c r="L339" s="2"/>
      <c r="M339" s="5"/>
      <c r="N339" s="2" t="s">
        <v>1630</v>
      </c>
      <c r="O339" s="28" t="s">
        <v>2682</v>
      </c>
      <c r="Q339" s="27">
        <v>2</v>
      </c>
      <c r="R339" s="19">
        <v>4</v>
      </c>
      <c r="U339" s="3">
        <v>9</v>
      </c>
      <c r="AB339" s="3">
        <v>7</v>
      </c>
      <c r="AC339" s="3">
        <v>7</v>
      </c>
      <c r="AF339" s="3">
        <v>3</v>
      </c>
      <c r="AG339" s="3">
        <v>1</v>
      </c>
      <c r="AH339" s="3">
        <v>1</v>
      </c>
      <c r="AI339" s="3">
        <v>9</v>
      </c>
      <c r="AW339" s="3">
        <v>9</v>
      </c>
      <c r="AY339" s="3">
        <v>1</v>
      </c>
      <c r="BB339" s="3">
        <v>9</v>
      </c>
      <c r="BM339" s="3">
        <v>8</v>
      </c>
      <c r="BN339" s="3">
        <v>4</v>
      </c>
      <c r="BP339" s="3">
        <v>0</v>
      </c>
      <c r="BQ339" s="3">
        <v>3</v>
      </c>
      <c r="BR339" s="3">
        <v>1</v>
      </c>
      <c r="BS339" s="3">
        <v>1</v>
      </c>
      <c r="BT339" s="3">
        <v>2</v>
      </c>
      <c r="BU339" s="3">
        <v>1</v>
      </c>
      <c r="BV339" s="3">
        <v>5</v>
      </c>
      <c r="BW339" s="3">
        <v>2</v>
      </c>
      <c r="BX339" s="3">
        <v>3</v>
      </c>
      <c r="BY339" s="3">
        <v>1</v>
      </c>
      <c r="BZ339" s="3">
        <v>1</v>
      </c>
      <c r="CA339" s="3">
        <v>1</v>
      </c>
      <c r="CB339" s="3">
        <v>1</v>
      </c>
      <c r="CD339" s="3">
        <v>2</v>
      </c>
      <c r="CE339" s="19">
        <v>1</v>
      </c>
      <c r="CF339" s="3">
        <v>3</v>
      </c>
      <c r="CG339" s="19">
        <v>1</v>
      </c>
      <c r="CH339" s="3">
        <v>3</v>
      </c>
      <c r="CI339" s="3">
        <v>1</v>
      </c>
      <c r="CJ339" s="3">
        <v>1</v>
      </c>
      <c r="CK339" s="3">
        <v>3</v>
      </c>
      <c r="CL339" s="3">
        <v>5</v>
      </c>
      <c r="CT339" s="3">
        <v>1</v>
      </c>
      <c r="CU339" s="3">
        <v>1</v>
      </c>
      <c r="CV339" s="3">
        <v>1</v>
      </c>
      <c r="CW339" s="3">
        <v>1</v>
      </c>
      <c r="CX339" s="3">
        <v>1</v>
      </c>
      <c r="CY339" s="3">
        <v>1</v>
      </c>
      <c r="CZ339" s="3">
        <v>1</v>
      </c>
      <c r="DA339" s="3">
        <v>1</v>
      </c>
      <c r="DB339" s="3">
        <v>1</v>
      </c>
      <c r="DC339" s="3">
        <v>1</v>
      </c>
      <c r="DD339" s="3">
        <v>1</v>
      </c>
      <c r="DE339" s="3">
        <v>1</v>
      </c>
      <c r="DF339" s="3">
        <v>1</v>
      </c>
      <c r="DG339" s="3">
        <v>1</v>
      </c>
      <c r="DH339" s="3">
        <v>1</v>
      </c>
      <c r="DI339" s="3">
        <v>1</v>
      </c>
      <c r="DJ339" s="3">
        <v>1</v>
      </c>
      <c r="DK339" s="3">
        <v>1</v>
      </c>
      <c r="DQ339" s="19">
        <v>9</v>
      </c>
    </row>
    <row r="340" spans="1:142" s="3" customFormat="1" ht="15" customHeight="1" x14ac:dyDescent="0.25">
      <c r="A340" s="6" t="s">
        <v>479</v>
      </c>
      <c r="B340" s="2" t="s">
        <v>784</v>
      </c>
      <c r="C340" s="2" t="s">
        <v>1631</v>
      </c>
      <c r="D340" s="25" t="s">
        <v>1605</v>
      </c>
      <c r="E340" s="4" t="s">
        <v>1190</v>
      </c>
      <c r="F340" s="4" t="s">
        <v>1209</v>
      </c>
      <c r="G340" s="26">
        <v>1976</v>
      </c>
      <c r="H340" s="5"/>
      <c r="I340" s="5"/>
      <c r="J340" s="5"/>
      <c r="L340" s="2"/>
      <c r="M340" s="5"/>
      <c r="N340" s="2" t="s">
        <v>1632</v>
      </c>
      <c r="O340" s="28" t="s">
        <v>2683</v>
      </c>
      <c r="Q340" s="27">
        <v>2</v>
      </c>
      <c r="R340" s="19">
        <v>5</v>
      </c>
      <c r="U340" s="3">
        <v>9</v>
      </c>
      <c r="W340" s="3">
        <v>8</v>
      </c>
      <c r="AB340" s="3">
        <v>5</v>
      </c>
      <c r="AC340" s="3">
        <v>5</v>
      </c>
      <c r="AF340" s="3">
        <v>3</v>
      </c>
      <c r="AG340" s="3">
        <v>1</v>
      </c>
      <c r="AH340" s="3">
        <v>1</v>
      </c>
      <c r="AI340" s="3">
        <v>9</v>
      </c>
      <c r="AW340" s="3">
        <v>9</v>
      </c>
      <c r="AY340" s="3">
        <v>1</v>
      </c>
      <c r="BB340" s="3">
        <v>9</v>
      </c>
      <c r="BN340" s="3">
        <v>3</v>
      </c>
      <c r="BP340" s="3">
        <v>4</v>
      </c>
      <c r="BQ340" s="3">
        <v>1</v>
      </c>
      <c r="BR340" s="3">
        <v>1</v>
      </c>
      <c r="BS340" s="3">
        <v>1</v>
      </c>
      <c r="BT340" s="3">
        <v>1</v>
      </c>
      <c r="BU340" s="3">
        <v>1</v>
      </c>
      <c r="BV340" s="3">
        <v>1</v>
      </c>
      <c r="BW340" s="3">
        <v>1</v>
      </c>
      <c r="BX340" s="3">
        <v>3</v>
      </c>
      <c r="BY340" s="3">
        <v>1</v>
      </c>
      <c r="BZ340" s="3">
        <v>1</v>
      </c>
      <c r="CA340" s="3">
        <v>1</v>
      </c>
      <c r="CB340" s="3">
        <v>1</v>
      </c>
      <c r="CC340" s="3">
        <v>1</v>
      </c>
      <c r="CD340" s="3">
        <v>1</v>
      </c>
      <c r="CY340" s="3">
        <v>1</v>
      </c>
      <c r="CZ340" s="3">
        <v>1</v>
      </c>
      <c r="DA340" s="3">
        <v>1</v>
      </c>
      <c r="DB340" s="3">
        <v>1</v>
      </c>
      <c r="DC340" s="3">
        <v>1</v>
      </c>
      <c r="DD340" s="3">
        <v>1</v>
      </c>
      <c r="DE340" s="3">
        <v>1</v>
      </c>
      <c r="DF340" s="3">
        <v>1</v>
      </c>
      <c r="DG340" s="3">
        <v>1</v>
      </c>
      <c r="DH340" s="3">
        <v>1</v>
      </c>
      <c r="DI340" s="3">
        <v>1</v>
      </c>
      <c r="DJ340" s="3">
        <v>1</v>
      </c>
      <c r="DK340" s="3">
        <v>1</v>
      </c>
      <c r="DQ340" s="19">
        <v>9</v>
      </c>
    </row>
    <row r="341" spans="1:142" s="3" customFormat="1" ht="15" customHeight="1" x14ac:dyDescent="0.25">
      <c r="A341" s="6" t="s">
        <v>480</v>
      </c>
      <c r="B341" s="2" t="s">
        <v>784</v>
      </c>
      <c r="C341" s="2" t="s">
        <v>1633</v>
      </c>
      <c r="D341" s="25" t="s">
        <v>1605</v>
      </c>
      <c r="E341" s="4" t="s">
        <v>1190</v>
      </c>
      <c r="F341" s="4" t="s">
        <v>1209</v>
      </c>
      <c r="G341" s="26">
        <v>1976</v>
      </c>
      <c r="H341" s="5"/>
      <c r="I341" s="5"/>
      <c r="J341" s="5"/>
      <c r="L341" s="2"/>
      <c r="M341" s="5"/>
      <c r="N341" s="2" t="s">
        <v>1634</v>
      </c>
      <c r="O341" s="28" t="s">
        <v>2684</v>
      </c>
      <c r="Q341" s="27">
        <v>2</v>
      </c>
      <c r="R341" s="19">
        <v>5</v>
      </c>
      <c r="W341" s="3">
        <v>4</v>
      </c>
      <c r="AB341" s="3">
        <v>8</v>
      </c>
      <c r="AC341" s="3">
        <v>7</v>
      </c>
      <c r="AF341" s="3">
        <v>1</v>
      </c>
      <c r="AI341" s="3">
        <v>9</v>
      </c>
      <c r="AW341" s="3">
        <v>9</v>
      </c>
      <c r="AY341" s="3">
        <v>1</v>
      </c>
      <c r="BB341" s="3">
        <v>9</v>
      </c>
      <c r="BM341" s="3">
        <v>9</v>
      </c>
      <c r="BP341" s="3">
        <v>0</v>
      </c>
      <c r="BQ341" s="3">
        <v>1</v>
      </c>
      <c r="BR341" s="3">
        <v>1</v>
      </c>
      <c r="BS341" s="3">
        <v>1</v>
      </c>
      <c r="BT341" s="3">
        <v>1</v>
      </c>
      <c r="BU341" s="3">
        <v>3</v>
      </c>
      <c r="BV341" s="3">
        <v>3</v>
      </c>
      <c r="BW341" s="3">
        <v>2</v>
      </c>
      <c r="BY341" s="3">
        <v>1</v>
      </c>
      <c r="BZ341" s="3">
        <v>1</v>
      </c>
      <c r="CB341" s="3">
        <v>1</v>
      </c>
      <c r="CC341" s="3">
        <v>2</v>
      </c>
      <c r="CD341" s="3">
        <v>1</v>
      </c>
      <c r="CE341" s="19">
        <v>3</v>
      </c>
      <c r="CF341" s="3">
        <v>1</v>
      </c>
      <c r="CG341" s="19">
        <v>1</v>
      </c>
      <c r="CH341" s="3">
        <v>3</v>
      </c>
      <c r="CI341" s="3">
        <v>1</v>
      </c>
      <c r="CJ341" s="3">
        <v>1</v>
      </c>
      <c r="CK341" s="3">
        <v>2</v>
      </c>
      <c r="CT341" s="3">
        <v>1</v>
      </c>
      <c r="CU341" s="3">
        <v>1</v>
      </c>
      <c r="CV341" s="3">
        <v>1</v>
      </c>
      <c r="CW341" s="3">
        <v>1</v>
      </c>
      <c r="CX341" s="3">
        <v>1</v>
      </c>
      <c r="CY341" s="3">
        <v>1</v>
      </c>
      <c r="CZ341" s="3">
        <v>3</v>
      </c>
      <c r="DA341" s="3">
        <v>1</v>
      </c>
      <c r="DB341" s="3">
        <v>3</v>
      </c>
      <c r="DC341" s="3">
        <v>3</v>
      </c>
      <c r="DD341" s="3">
        <v>1</v>
      </c>
      <c r="DE341" s="3">
        <v>3</v>
      </c>
      <c r="DF341" s="3">
        <v>1</v>
      </c>
      <c r="DG341" s="3">
        <v>1</v>
      </c>
      <c r="DH341" s="3">
        <v>1</v>
      </c>
      <c r="DI341" s="3">
        <v>1</v>
      </c>
      <c r="DJ341" s="3">
        <v>1</v>
      </c>
      <c r="DK341" s="3">
        <v>1</v>
      </c>
      <c r="DL341" s="3">
        <v>2</v>
      </c>
      <c r="DM341" s="3">
        <v>1</v>
      </c>
      <c r="DN341" s="3">
        <v>1</v>
      </c>
      <c r="DO341" s="3">
        <v>1</v>
      </c>
      <c r="DQ341" s="19">
        <v>1</v>
      </c>
    </row>
    <row r="342" spans="1:142" s="3" customFormat="1" ht="15" customHeight="1" x14ac:dyDescent="0.25">
      <c r="A342" s="6" t="s">
        <v>481</v>
      </c>
      <c r="B342" s="2" t="s">
        <v>784</v>
      </c>
      <c r="C342" s="2" t="s">
        <v>1635</v>
      </c>
      <c r="D342" s="25" t="s">
        <v>1605</v>
      </c>
      <c r="E342" s="4" t="s">
        <v>1190</v>
      </c>
      <c r="F342" s="4" t="s">
        <v>1209</v>
      </c>
      <c r="G342" s="26">
        <v>1976</v>
      </c>
      <c r="H342" s="5"/>
      <c r="I342" s="5"/>
      <c r="J342" s="5"/>
      <c r="L342" s="2"/>
      <c r="M342" s="5"/>
      <c r="N342" s="2" t="s">
        <v>1636</v>
      </c>
      <c r="O342" s="28" t="s">
        <v>2685</v>
      </c>
      <c r="Q342" s="27">
        <v>2</v>
      </c>
      <c r="S342" s="3">
        <v>1</v>
      </c>
      <c r="T342" s="3">
        <v>3</v>
      </c>
      <c r="U342" s="3">
        <v>9</v>
      </c>
      <c r="W342" s="3">
        <v>4</v>
      </c>
      <c r="AB342" s="3">
        <v>8</v>
      </c>
      <c r="AC342" s="3">
        <v>6</v>
      </c>
      <c r="AF342" s="3">
        <v>3</v>
      </c>
      <c r="AG342" s="3">
        <v>1</v>
      </c>
      <c r="AH342" s="3">
        <v>1</v>
      </c>
      <c r="AI342" s="3">
        <v>9</v>
      </c>
      <c r="AW342" s="3">
        <v>9</v>
      </c>
      <c r="AY342" s="3">
        <v>1</v>
      </c>
      <c r="BB342" s="3">
        <v>9</v>
      </c>
      <c r="BP342" s="3">
        <v>4</v>
      </c>
      <c r="BQ342" s="3">
        <v>1</v>
      </c>
      <c r="BR342" s="3">
        <v>3</v>
      </c>
      <c r="BS342" s="3">
        <v>1</v>
      </c>
      <c r="BT342" s="3">
        <v>1</v>
      </c>
      <c r="BU342" s="3">
        <v>1</v>
      </c>
      <c r="BV342" s="3">
        <v>1</v>
      </c>
      <c r="BW342" s="3">
        <v>1</v>
      </c>
      <c r="BX342" s="3">
        <v>1</v>
      </c>
      <c r="BY342" s="3">
        <v>1</v>
      </c>
      <c r="BZ342" s="3">
        <v>1</v>
      </c>
      <c r="CA342" s="3">
        <v>1</v>
      </c>
      <c r="CB342" s="3">
        <v>1</v>
      </c>
      <c r="CC342" s="3">
        <v>1</v>
      </c>
      <c r="CD342" s="3">
        <v>1</v>
      </c>
      <c r="CY342" s="3">
        <v>1</v>
      </c>
      <c r="CZ342" s="3">
        <v>3</v>
      </c>
      <c r="DA342" s="3">
        <v>1</v>
      </c>
      <c r="DB342" s="3">
        <v>1</v>
      </c>
      <c r="DC342" s="3">
        <v>1</v>
      </c>
      <c r="DD342" s="3">
        <v>1</v>
      </c>
      <c r="DE342" s="3">
        <v>3</v>
      </c>
      <c r="DF342" s="3">
        <v>1</v>
      </c>
      <c r="DG342" s="3">
        <v>1</v>
      </c>
      <c r="DH342" s="3">
        <v>1</v>
      </c>
      <c r="DI342" s="3">
        <v>1</v>
      </c>
      <c r="DJ342" s="3">
        <v>1</v>
      </c>
      <c r="DK342" s="3">
        <v>1</v>
      </c>
      <c r="DQ342" s="19">
        <v>1</v>
      </c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</row>
    <row r="343" spans="1:142" s="3" customFormat="1" ht="15" customHeight="1" x14ac:dyDescent="0.25">
      <c r="A343" s="6" t="s">
        <v>482</v>
      </c>
      <c r="B343" s="2" t="s">
        <v>784</v>
      </c>
      <c r="C343" s="2" t="s">
        <v>1637</v>
      </c>
      <c r="D343" s="25" t="s">
        <v>1605</v>
      </c>
      <c r="E343" s="4" t="s">
        <v>1190</v>
      </c>
      <c r="F343" s="4" t="s">
        <v>1096</v>
      </c>
      <c r="G343" s="29"/>
      <c r="H343" s="5"/>
      <c r="I343" s="5"/>
      <c r="J343" s="5"/>
      <c r="L343" s="2"/>
      <c r="M343" s="5"/>
      <c r="N343" s="2" t="s">
        <v>1638</v>
      </c>
      <c r="O343" s="28" t="s">
        <v>2686</v>
      </c>
      <c r="Q343" s="27">
        <v>2</v>
      </c>
      <c r="S343" s="3">
        <v>1</v>
      </c>
      <c r="T343" s="3">
        <v>3</v>
      </c>
      <c r="U343" s="3">
        <v>9</v>
      </c>
      <c r="W343" s="3">
        <v>4</v>
      </c>
      <c r="AB343" s="3">
        <v>8</v>
      </c>
      <c r="AC343" s="3">
        <v>7</v>
      </c>
      <c r="AF343" s="3">
        <v>3</v>
      </c>
      <c r="AG343" s="3">
        <v>1</v>
      </c>
      <c r="AH343" s="3">
        <v>1</v>
      </c>
      <c r="AI343" s="3">
        <v>9</v>
      </c>
      <c r="AW343" s="3">
        <v>9</v>
      </c>
      <c r="AY343" s="3">
        <v>1</v>
      </c>
      <c r="BB343" s="3">
        <v>9</v>
      </c>
      <c r="BM343" s="3">
        <v>8</v>
      </c>
      <c r="BQ343" s="3">
        <v>1</v>
      </c>
      <c r="BR343" s="3">
        <v>1</v>
      </c>
      <c r="BS343" s="3">
        <v>1</v>
      </c>
      <c r="BT343" s="3">
        <v>2</v>
      </c>
      <c r="BU343" s="3">
        <v>2</v>
      </c>
      <c r="BV343" s="3">
        <v>2</v>
      </c>
      <c r="BW343" s="3">
        <v>1</v>
      </c>
      <c r="BY343" s="3">
        <v>2</v>
      </c>
      <c r="BZ343" s="3">
        <v>2</v>
      </c>
      <c r="CA343" s="3">
        <v>2</v>
      </c>
      <c r="CB343" s="3">
        <v>2</v>
      </c>
      <c r="CC343" s="3">
        <v>2</v>
      </c>
      <c r="CD343" s="3">
        <v>1</v>
      </c>
      <c r="CE343" s="19">
        <v>3</v>
      </c>
      <c r="CF343" s="3">
        <v>1</v>
      </c>
      <c r="CG343" s="19">
        <v>2</v>
      </c>
      <c r="CH343" s="3">
        <v>2</v>
      </c>
      <c r="CI343" s="3">
        <v>1</v>
      </c>
      <c r="CJ343" s="3">
        <v>2</v>
      </c>
      <c r="CK343" s="3">
        <v>2</v>
      </c>
      <c r="CL343" s="3">
        <v>3</v>
      </c>
      <c r="CT343" s="3">
        <v>1</v>
      </c>
      <c r="CU343" s="3">
        <v>1</v>
      </c>
      <c r="CV343" s="3">
        <v>1</v>
      </c>
      <c r="CW343" s="3">
        <v>1</v>
      </c>
      <c r="CX343" s="3">
        <v>1</v>
      </c>
      <c r="CY343" s="3">
        <v>1</v>
      </c>
      <c r="CZ343" s="3">
        <v>3</v>
      </c>
      <c r="DA343" s="3">
        <v>3</v>
      </c>
      <c r="DB343" s="3">
        <v>1</v>
      </c>
      <c r="DC343" s="3">
        <v>3</v>
      </c>
      <c r="DD343" s="3">
        <v>3</v>
      </c>
      <c r="DE343" s="3">
        <v>1</v>
      </c>
      <c r="DF343" s="3">
        <v>1</v>
      </c>
      <c r="DG343" s="3">
        <v>1</v>
      </c>
      <c r="DH343" s="3">
        <v>1</v>
      </c>
      <c r="DI343" s="3">
        <v>1</v>
      </c>
      <c r="DJ343" s="3">
        <v>1</v>
      </c>
      <c r="DK343" s="3">
        <v>1</v>
      </c>
      <c r="DQ343" s="19">
        <v>1</v>
      </c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</row>
    <row r="344" spans="1:142" s="3" customFormat="1" ht="15" customHeight="1" x14ac:dyDescent="0.25">
      <c r="A344" s="6" t="s">
        <v>483</v>
      </c>
      <c r="B344" s="2" t="s">
        <v>784</v>
      </c>
      <c r="C344" s="2" t="s">
        <v>1639</v>
      </c>
      <c r="D344" s="25" t="s">
        <v>1605</v>
      </c>
      <c r="E344" s="4" t="s">
        <v>1190</v>
      </c>
      <c r="F344" s="4" t="s">
        <v>1160</v>
      </c>
      <c r="G344" s="29"/>
      <c r="H344" s="5"/>
      <c r="I344" s="5"/>
      <c r="J344" s="5"/>
      <c r="L344" s="2"/>
      <c r="M344" s="4" t="s">
        <v>1640</v>
      </c>
      <c r="N344" s="2" t="s">
        <v>1641</v>
      </c>
      <c r="O344" s="28" t="s">
        <v>2687</v>
      </c>
      <c r="Q344" s="27">
        <v>2</v>
      </c>
      <c r="S344" s="3">
        <v>1</v>
      </c>
      <c r="T344" s="3">
        <v>3</v>
      </c>
      <c r="U344" s="3">
        <v>9</v>
      </c>
      <c r="W344" s="3">
        <v>8</v>
      </c>
      <c r="AB344" s="3">
        <v>2</v>
      </c>
      <c r="AC344" s="3">
        <v>7</v>
      </c>
      <c r="AF344" s="3">
        <v>1</v>
      </c>
      <c r="AI344" s="3">
        <v>9</v>
      </c>
      <c r="AW344" s="3">
        <v>9</v>
      </c>
      <c r="AY344" s="3">
        <v>1</v>
      </c>
      <c r="BB344" s="3">
        <v>9</v>
      </c>
      <c r="BP344" s="3">
        <v>8</v>
      </c>
      <c r="BQ344" s="3">
        <v>1</v>
      </c>
      <c r="BR344" s="3">
        <v>1</v>
      </c>
      <c r="BS344" s="3">
        <v>5</v>
      </c>
      <c r="BT344" s="3">
        <v>1</v>
      </c>
      <c r="BU344" s="3">
        <v>3</v>
      </c>
      <c r="BV344" s="3">
        <v>3</v>
      </c>
      <c r="BW344" s="3">
        <v>1</v>
      </c>
      <c r="BX344" s="3">
        <v>1</v>
      </c>
      <c r="BY344" s="3">
        <v>1</v>
      </c>
      <c r="BZ344" s="3">
        <v>1</v>
      </c>
      <c r="CA344" s="3">
        <v>1</v>
      </c>
      <c r="CB344" s="3">
        <v>3</v>
      </c>
      <c r="CC344" s="3">
        <v>1</v>
      </c>
      <c r="CD344" s="3">
        <v>1</v>
      </c>
      <c r="CY344" s="3">
        <v>1</v>
      </c>
      <c r="CZ344" s="3">
        <v>1</v>
      </c>
      <c r="DA344" s="3">
        <v>1</v>
      </c>
      <c r="DB344" s="3">
        <v>1</v>
      </c>
      <c r="DC344" s="3">
        <v>3</v>
      </c>
      <c r="DD344" s="3">
        <v>1</v>
      </c>
      <c r="DE344" s="3">
        <v>1</v>
      </c>
      <c r="DF344" s="3">
        <v>1</v>
      </c>
      <c r="DG344" s="3">
        <v>1</v>
      </c>
      <c r="DH344" s="3">
        <v>1</v>
      </c>
      <c r="DI344" s="3">
        <v>1</v>
      </c>
      <c r="DJ344" s="3">
        <v>1</v>
      </c>
      <c r="DK344" s="3">
        <v>1</v>
      </c>
      <c r="DL344" s="3">
        <v>1</v>
      </c>
      <c r="DM344" s="3">
        <v>1</v>
      </c>
      <c r="DN344" s="3">
        <v>1</v>
      </c>
      <c r="DO344" s="3">
        <v>1</v>
      </c>
      <c r="DQ344" s="19">
        <v>1</v>
      </c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</row>
    <row r="345" spans="1:142" s="3" customFormat="1" ht="15" customHeight="1" x14ac:dyDescent="0.25">
      <c r="A345" s="6" t="s">
        <v>484</v>
      </c>
      <c r="B345" s="2" t="s">
        <v>784</v>
      </c>
      <c r="C345" s="2" t="s">
        <v>1642</v>
      </c>
      <c r="D345" s="25" t="s">
        <v>1605</v>
      </c>
      <c r="E345" s="4" t="s">
        <v>1190</v>
      </c>
      <c r="F345" s="4" t="s">
        <v>1209</v>
      </c>
      <c r="G345" s="29"/>
      <c r="H345" s="4" t="s">
        <v>124</v>
      </c>
      <c r="I345" s="5"/>
      <c r="J345" s="5"/>
      <c r="K345" s="1"/>
      <c r="L345" s="2"/>
      <c r="M345" s="5"/>
      <c r="N345" s="2" t="s">
        <v>1643</v>
      </c>
      <c r="O345" s="28" t="s">
        <v>2688</v>
      </c>
      <c r="Q345" s="27">
        <v>2</v>
      </c>
      <c r="S345" s="3">
        <v>1</v>
      </c>
      <c r="T345" s="3">
        <v>3</v>
      </c>
      <c r="U345" s="3">
        <v>9</v>
      </c>
      <c r="AB345" s="3">
        <v>8</v>
      </c>
      <c r="AC345" s="3">
        <v>8</v>
      </c>
      <c r="AF345" s="3">
        <v>1</v>
      </c>
      <c r="AI345" s="3">
        <v>9</v>
      </c>
      <c r="AJ345" s="3">
        <v>2</v>
      </c>
      <c r="AW345" s="3">
        <v>9</v>
      </c>
      <c r="AX345" s="3">
        <v>5</v>
      </c>
      <c r="AY345" s="3">
        <v>1</v>
      </c>
      <c r="AZ345" s="3">
        <v>1</v>
      </c>
      <c r="BA345" s="3">
        <v>1</v>
      </c>
      <c r="BB345" s="3">
        <v>9</v>
      </c>
      <c r="BG345" s="3">
        <v>9</v>
      </c>
      <c r="BM345" s="3">
        <v>7</v>
      </c>
      <c r="BN345" s="3">
        <v>1</v>
      </c>
      <c r="BP345" s="3">
        <v>0</v>
      </c>
      <c r="BQ345" s="3">
        <v>1</v>
      </c>
      <c r="BR345" s="3">
        <v>1</v>
      </c>
      <c r="BS345" s="3">
        <v>1</v>
      </c>
      <c r="BT345" s="3">
        <v>1</v>
      </c>
      <c r="BU345" s="3">
        <v>1</v>
      </c>
      <c r="BV345" s="3">
        <v>2</v>
      </c>
      <c r="BW345" s="3">
        <v>1</v>
      </c>
      <c r="BY345" s="3">
        <v>1</v>
      </c>
      <c r="BZ345" s="3">
        <v>1</v>
      </c>
      <c r="CA345" s="3">
        <v>1</v>
      </c>
      <c r="CB345" s="3">
        <v>1</v>
      </c>
      <c r="CC345" s="3">
        <v>1</v>
      </c>
      <c r="CD345" s="3">
        <v>1</v>
      </c>
      <c r="CE345" s="19">
        <v>1</v>
      </c>
      <c r="CF345" s="3">
        <v>1</v>
      </c>
      <c r="CG345" s="19">
        <v>1</v>
      </c>
      <c r="CH345" s="3">
        <v>1</v>
      </c>
      <c r="CI345" s="3">
        <v>1</v>
      </c>
      <c r="CJ345" s="3">
        <v>1</v>
      </c>
      <c r="CK345" s="3">
        <v>2</v>
      </c>
      <c r="CL345" s="3">
        <v>1</v>
      </c>
      <c r="CT345" s="3">
        <v>1</v>
      </c>
      <c r="CU345" s="3">
        <v>1</v>
      </c>
      <c r="CV345" s="3">
        <v>1</v>
      </c>
      <c r="CW345" s="3">
        <v>1</v>
      </c>
      <c r="CX345" s="3">
        <v>1</v>
      </c>
      <c r="CY345" s="3">
        <v>1</v>
      </c>
      <c r="CZ345" s="3">
        <v>3</v>
      </c>
      <c r="DA345" s="3">
        <v>1</v>
      </c>
      <c r="DB345" s="3">
        <v>1</v>
      </c>
      <c r="DC345" s="3">
        <v>1</v>
      </c>
      <c r="DD345" s="3">
        <v>3</v>
      </c>
      <c r="DE345" s="3">
        <v>1</v>
      </c>
      <c r="DF345" s="3">
        <v>1</v>
      </c>
      <c r="DG345" s="3">
        <v>1</v>
      </c>
      <c r="DH345" s="3">
        <v>1</v>
      </c>
      <c r="DI345" s="3">
        <v>1</v>
      </c>
      <c r="DJ345" s="3">
        <v>1</v>
      </c>
      <c r="DK345" s="3">
        <v>1</v>
      </c>
      <c r="DQ345" s="19">
        <v>1</v>
      </c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</row>
    <row r="346" spans="1:142" s="3" customFormat="1" ht="15" customHeight="1" x14ac:dyDescent="0.25">
      <c r="A346" s="6" t="s">
        <v>485</v>
      </c>
      <c r="B346" s="2" t="s">
        <v>784</v>
      </c>
      <c r="C346" s="2" t="s">
        <v>1644</v>
      </c>
      <c r="D346" s="25" t="s">
        <v>1605</v>
      </c>
      <c r="E346" s="4" t="s">
        <v>1190</v>
      </c>
      <c r="F346" s="4" t="s">
        <v>1209</v>
      </c>
      <c r="G346" s="26">
        <v>1976</v>
      </c>
      <c r="H346" s="5"/>
      <c r="I346" s="5"/>
      <c r="J346" s="5"/>
      <c r="K346" s="1"/>
      <c r="L346" s="2"/>
      <c r="M346" s="5"/>
      <c r="N346" s="2" t="s">
        <v>1645</v>
      </c>
      <c r="O346" s="28" t="s">
        <v>2689</v>
      </c>
      <c r="Q346" s="27">
        <v>2</v>
      </c>
      <c r="W346" s="3">
        <v>3</v>
      </c>
      <c r="AB346" s="3">
        <v>7</v>
      </c>
      <c r="AC346" s="3">
        <v>6</v>
      </c>
      <c r="AF346" s="3">
        <v>3</v>
      </c>
      <c r="AG346" s="3">
        <v>1</v>
      </c>
      <c r="AH346" s="3">
        <v>1</v>
      </c>
      <c r="AI346" s="3">
        <v>9</v>
      </c>
      <c r="AW346" s="3">
        <v>9</v>
      </c>
      <c r="AY346" s="3">
        <v>1</v>
      </c>
      <c r="BN346" s="3">
        <v>4</v>
      </c>
      <c r="BP346" s="3">
        <v>5</v>
      </c>
      <c r="BQ346" s="3">
        <v>1</v>
      </c>
      <c r="BR346" s="3">
        <v>1</v>
      </c>
      <c r="BS346" s="3">
        <v>1</v>
      </c>
      <c r="BT346" s="3">
        <v>1</v>
      </c>
      <c r="BU346" s="3">
        <v>1</v>
      </c>
      <c r="BV346" s="3">
        <v>3</v>
      </c>
      <c r="BW346" s="3">
        <v>1</v>
      </c>
      <c r="BX346" s="3">
        <v>1</v>
      </c>
      <c r="BY346" s="3">
        <v>1</v>
      </c>
      <c r="BZ346" s="3">
        <v>1</v>
      </c>
      <c r="CA346" s="3">
        <v>1</v>
      </c>
      <c r="CB346" s="3">
        <v>1</v>
      </c>
      <c r="CC346" s="3">
        <v>3</v>
      </c>
      <c r="CD346" s="3">
        <v>3</v>
      </c>
      <c r="CY346" s="3">
        <v>1</v>
      </c>
      <c r="CZ346" s="3">
        <v>1</v>
      </c>
      <c r="DA346" s="3">
        <v>1</v>
      </c>
      <c r="DB346" s="3">
        <v>1</v>
      </c>
      <c r="DC346" s="3">
        <v>3</v>
      </c>
      <c r="DD346" s="3">
        <v>1</v>
      </c>
      <c r="DE346" s="3">
        <v>3</v>
      </c>
      <c r="DF346" s="3">
        <v>1</v>
      </c>
      <c r="DG346" s="3">
        <v>1</v>
      </c>
      <c r="DH346" s="3">
        <v>1</v>
      </c>
      <c r="DI346" s="3">
        <v>1</v>
      </c>
      <c r="DJ346" s="3">
        <v>1</v>
      </c>
      <c r="DK346" s="3">
        <v>1</v>
      </c>
      <c r="DQ346" s="19">
        <v>1</v>
      </c>
      <c r="DS346" s="1"/>
      <c r="DT346" s="1"/>
    </row>
    <row r="347" spans="1:142" s="3" customFormat="1" ht="15" customHeight="1" x14ac:dyDescent="0.25">
      <c r="A347" s="6" t="s">
        <v>486</v>
      </c>
      <c r="B347" s="2" t="s">
        <v>784</v>
      </c>
      <c r="C347" s="2" t="s">
        <v>1646</v>
      </c>
      <c r="D347" s="25" t="s">
        <v>1605</v>
      </c>
      <c r="E347" s="4" t="s">
        <v>1190</v>
      </c>
      <c r="F347" s="4" t="s">
        <v>1209</v>
      </c>
      <c r="G347" s="26">
        <v>1976</v>
      </c>
      <c r="H347" s="5"/>
      <c r="I347" s="5"/>
      <c r="J347" s="5"/>
      <c r="K347" s="1"/>
      <c r="L347" s="2"/>
      <c r="M347" s="5"/>
      <c r="N347" s="2" t="s">
        <v>1647</v>
      </c>
      <c r="O347" s="28" t="s">
        <v>2690</v>
      </c>
      <c r="Q347" s="27">
        <v>2</v>
      </c>
      <c r="AB347" s="3">
        <v>8</v>
      </c>
      <c r="AC347" s="3">
        <v>7</v>
      </c>
      <c r="AF347" s="3">
        <v>3</v>
      </c>
      <c r="AG347" s="3">
        <v>1</v>
      </c>
      <c r="AH347" s="3">
        <v>1</v>
      </c>
      <c r="AI347" s="3">
        <v>9</v>
      </c>
      <c r="AJ347" s="3">
        <v>3</v>
      </c>
      <c r="AW347" s="3">
        <v>9</v>
      </c>
      <c r="AX347" s="3">
        <v>3</v>
      </c>
      <c r="AY347" s="3">
        <v>1</v>
      </c>
      <c r="AZ347" s="3">
        <v>1</v>
      </c>
      <c r="BA347" s="3">
        <v>1</v>
      </c>
      <c r="BB347" s="3">
        <v>9</v>
      </c>
      <c r="BM347" s="3">
        <v>9</v>
      </c>
      <c r="BN347" s="3">
        <v>3</v>
      </c>
      <c r="BP347" s="3">
        <v>0</v>
      </c>
      <c r="BQ347" s="3">
        <v>1</v>
      </c>
      <c r="BR347" s="3">
        <v>1</v>
      </c>
      <c r="BS347" s="3">
        <v>1</v>
      </c>
      <c r="BT347" s="3">
        <v>1</v>
      </c>
      <c r="BU347" s="3">
        <v>1</v>
      </c>
      <c r="BV347" s="3">
        <v>1</v>
      </c>
      <c r="BW347" s="3">
        <v>1</v>
      </c>
      <c r="BY347" s="3">
        <v>1</v>
      </c>
      <c r="BZ347" s="3">
        <v>1</v>
      </c>
      <c r="CA347" s="3">
        <v>1</v>
      </c>
      <c r="CB347" s="3">
        <v>1</v>
      </c>
      <c r="CC347" s="3">
        <v>1</v>
      </c>
      <c r="CD347" s="3">
        <v>1</v>
      </c>
      <c r="CE347" s="19">
        <v>1</v>
      </c>
      <c r="CF347" s="3">
        <v>1</v>
      </c>
      <c r="CG347" s="19">
        <v>1</v>
      </c>
      <c r="CH347" s="3">
        <v>1</v>
      </c>
      <c r="CI347" s="3">
        <v>1</v>
      </c>
      <c r="CJ347" s="3">
        <v>1</v>
      </c>
      <c r="CK347" s="3">
        <v>1</v>
      </c>
      <c r="CL347" s="3">
        <v>1</v>
      </c>
      <c r="CT347" s="3">
        <v>1</v>
      </c>
      <c r="CU347" s="3">
        <v>1</v>
      </c>
      <c r="CV347" s="3">
        <v>1</v>
      </c>
      <c r="CW347" s="3">
        <v>1</v>
      </c>
      <c r="CX347" s="3">
        <v>1</v>
      </c>
      <c r="CY347" s="3">
        <v>1</v>
      </c>
      <c r="CZ347" s="3">
        <v>1</v>
      </c>
      <c r="DA347" s="3">
        <v>1</v>
      </c>
      <c r="DB347" s="3">
        <v>1</v>
      </c>
      <c r="DC347" s="3">
        <v>1</v>
      </c>
      <c r="DD347" s="3">
        <v>1</v>
      </c>
      <c r="DE347" s="3">
        <v>1</v>
      </c>
      <c r="DF347" s="3">
        <v>1</v>
      </c>
      <c r="DG347" s="3">
        <v>1</v>
      </c>
      <c r="DH347" s="3">
        <v>1</v>
      </c>
      <c r="DI347" s="3">
        <v>1</v>
      </c>
      <c r="DJ347" s="3">
        <v>1</v>
      </c>
      <c r="DK347" s="3">
        <v>1</v>
      </c>
      <c r="DQ347" s="19">
        <v>1</v>
      </c>
      <c r="DS347" s="1"/>
      <c r="DT347" s="1"/>
    </row>
    <row r="348" spans="1:142" s="3" customFormat="1" ht="15" customHeight="1" x14ac:dyDescent="0.25">
      <c r="A348" s="6" t="s">
        <v>487</v>
      </c>
      <c r="B348" s="2" t="s">
        <v>784</v>
      </c>
      <c r="C348" s="2" t="s">
        <v>1648</v>
      </c>
      <c r="D348" s="25" t="s">
        <v>1605</v>
      </c>
      <c r="E348" s="4" t="s">
        <v>1190</v>
      </c>
      <c r="F348" s="4" t="s">
        <v>1209</v>
      </c>
      <c r="G348" s="26">
        <v>1976</v>
      </c>
      <c r="H348" s="5"/>
      <c r="I348" s="5"/>
      <c r="J348" s="5"/>
      <c r="K348" s="1"/>
      <c r="L348" s="2"/>
      <c r="M348" s="5"/>
      <c r="N348" s="2" t="s">
        <v>1649</v>
      </c>
      <c r="O348" s="28" t="s">
        <v>2691</v>
      </c>
      <c r="Q348" s="27">
        <v>2</v>
      </c>
      <c r="W348" s="3">
        <v>8</v>
      </c>
      <c r="AB348" s="3">
        <v>7</v>
      </c>
      <c r="AC348" s="3">
        <v>7</v>
      </c>
      <c r="AF348" s="3">
        <v>2</v>
      </c>
      <c r="AG348" s="3">
        <v>1</v>
      </c>
      <c r="AH348" s="3">
        <v>1</v>
      </c>
      <c r="AI348" s="3">
        <v>9</v>
      </c>
      <c r="AJ348" s="3">
        <v>3</v>
      </c>
      <c r="AW348" s="3">
        <v>9</v>
      </c>
      <c r="AX348" s="3">
        <v>3</v>
      </c>
      <c r="AY348" s="3">
        <v>1</v>
      </c>
      <c r="AZ348" s="3">
        <v>1</v>
      </c>
      <c r="BB348" s="3">
        <v>9</v>
      </c>
      <c r="BN348" s="3">
        <v>4</v>
      </c>
      <c r="BP348" s="3">
        <v>5</v>
      </c>
      <c r="BQ348" s="3">
        <v>1</v>
      </c>
      <c r="BR348" s="3">
        <v>1</v>
      </c>
      <c r="BS348" s="3">
        <v>1</v>
      </c>
      <c r="BT348" s="3">
        <v>1</v>
      </c>
      <c r="BU348" s="3">
        <v>1</v>
      </c>
      <c r="BV348" s="3">
        <v>3</v>
      </c>
      <c r="BW348" s="3">
        <v>3</v>
      </c>
      <c r="BX348" s="3">
        <v>1</v>
      </c>
      <c r="BY348" s="3">
        <v>1</v>
      </c>
      <c r="BZ348" s="3">
        <v>1</v>
      </c>
      <c r="CA348" s="3">
        <v>3</v>
      </c>
      <c r="CB348" s="3">
        <v>1</v>
      </c>
      <c r="CC348" s="3">
        <v>1</v>
      </c>
      <c r="CD348" s="3">
        <v>1</v>
      </c>
      <c r="CY348" s="3">
        <v>1</v>
      </c>
      <c r="CZ348" s="3">
        <v>1</v>
      </c>
      <c r="DA348" s="3">
        <v>1</v>
      </c>
      <c r="DB348" s="3">
        <v>1</v>
      </c>
      <c r="DC348" s="3">
        <v>1</v>
      </c>
      <c r="DD348" s="3">
        <v>1</v>
      </c>
      <c r="DE348" s="3">
        <v>1</v>
      </c>
      <c r="DF348" s="3">
        <v>1</v>
      </c>
      <c r="DG348" s="3">
        <v>1</v>
      </c>
      <c r="DH348" s="3">
        <v>1</v>
      </c>
      <c r="DI348" s="3">
        <v>1</v>
      </c>
      <c r="DJ348" s="3">
        <v>1</v>
      </c>
      <c r="DK348" s="3">
        <v>1</v>
      </c>
      <c r="DQ348" s="19">
        <v>1</v>
      </c>
      <c r="DS348" s="1"/>
      <c r="DT348" s="1"/>
    </row>
    <row r="349" spans="1:142" ht="15" customHeight="1" x14ac:dyDescent="0.25">
      <c r="A349" s="6" t="s">
        <v>488</v>
      </c>
      <c r="B349" s="2" t="s">
        <v>784</v>
      </c>
      <c r="C349" s="2" t="s">
        <v>1650</v>
      </c>
      <c r="D349" s="25" t="s">
        <v>1605</v>
      </c>
      <c r="E349" s="4" t="s">
        <v>1190</v>
      </c>
      <c r="F349" s="4" t="s">
        <v>1209</v>
      </c>
      <c r="G349" s="26">
        <v>1976</v>
      </c>
      <c r="H349" s="5"/>
      <c r="I349" s="5"/>
      <c r="J349" s="5"/>
      <c r="K349" s="3"/>
      <c r="M349" s="5"/>
      <c r="N349" s="2" t="s">
        <v>1651</v>
      </c>
      <c r="O349" s="28" t="s">
        <v>2692</v>
      </c>
      <c r="P349" s="3"/>
      <c r="Q349" s="27">
        <v>2</v>
      </c>
      <c r="R349" s="19">
        <v>5</v>
      </c>
      <c r="S349" s="3"/>
      <c r="T349" s="3"/>
      <c r="U349" s="3">
        <v>9</v>
      </c>
      <c r="V349" s="3"/>
      <c r="W349" s="3">
        <v>3</v>
      </c>
      <c r="X349" s="3"/>
      <c r="Z349" s="3"/>
      <c r="AA349" s="3"/>
      <c r="AB349" s="3">
        <v>6</v>
      </c>
      <c r="AC349" s="3">
        <v>7</v>
      </c>
      <c r="AD349" s="3"/>
      <c r="AE349" s="3"/>
      <c r="AF349" s="3">
        <v>3</v>
      </c>
      <c r="AG349" s="3">
        <v>1</v>
      </c>
      <c r="AH349" s="3">
        <v>1</v>
      </c>
      <c r="AI349" s="3">
        <v>9</v>
      </c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>
        <v>9</v>
      </c>
      <c r="AX349" s="3"/>
      <c r="AY349" s="3">
        <v>9</v>
      </c>
      <c r="AZ349" s="3"/>
      <c r="BA349" s="3"/>
      <c r="BB349" s="3">
        <v>9</v>
      </c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>
        <v>8</v>
      </c>
      <c r="BN349" s="3">
        <v>1</v>
      </c>
      <c r="BO349" s="3"/>
      <c r="BP349" s="3">
        <v>0</v>
      </c>
      <c r="BQ349" s="3">
        <v>1</v>
      </c>
      <c r="BR349" s="3">
        <v>1</v>
      </c>
      <c r="BS349" s="3">
        <v>1</v>
      </c>
      <c r="BT349" s="3">
        <v>1</v>
      </c>
      <c r="BU349" s="3">
        <v>3</v>
      </c>
      <c r="BV349" s="3">
        <v>3</v>
      </c>
      <c r="BW349" s="3">
        <v>1</v>
      </c>
      <c r="BX349" s="3"/>
      <c r="BY349" s="3">
        <v>2</v>
      </c>
      <c r="BZ349" s="3">
        <v>2</v>
      </c>
      <c r="CA349" s="3"/>
      <c r="CB349" s="3">
        <v>1</v>
      </c>
      <c r="CC349" s="3">
        <v>5</v>
      </c>
      <c r="CD349" s="3">
        <v>2</v>
      </c>
      <c r="CE349" s="19">
        <v>3</v>
      </c>
      <c r="CF349" s="3">
        <v>9</v>
      </c>
      <c r="CG349" s="19">
        <v>6</v>
      </c>
      <c r="CH349" s="3"/>
      <c r="CI349" s="3">
        <v>1</v>
      </c>
      <c r="CJ349" s="3">
        <v>1</v>
      </c>
      <c r="CK349" s="3">
        <v>3</v>
      </c>
      <c r="CL349" s="3">
        <v>2</v>
      </c>
      <c r="CM349" s="3"/>
      <c r="CN349" s="3"/>
      <c r="CO349" s="3"/>
      <c r="CP349" s="3"/>
      <c r="CT349" s="3">
        <v>5</v>
      </c>
      <c r="CU349" s="3">
        <v>1</v>
      </c>
      <c r="CV349" s="3">
        <v>1</v>
      </c>
      <c r="CW349" s="3">
        <v>1</v>
      </c>
      <c r="CX349" s="3">
        <v>1</v>
      </c>
      <c r="CY349" s="3"/>
      <c r="CZ349" s="3">
        <v>3</v>
      </c>
      <c r="DA349" s="3">
        <v>1</v>
      </c>
      <c r="DB349" s="3">
        <v>1</v>
      </c>
      <c r="DC349" s="3">
        <v>3</v>
      </c>
      <c r="DD349" s="3">
        <v>3</v>
      </c>
      <c r="DE349" s="3">
        <v>3</v>
      </c>
      <c r="DF349" s="3">
        <v>1</v>
      </c>
      <c r="DG349" s="3">
        <v>1</v>
      </c>
      <c r="DH349" s="3">
        <v>1</v>
      </c>
      <c r="DI349" s="3">
        <v>1</v>
      </c>
      <c r="DJ349" s="3">
        <v>1</v>
      </c>
      <c r="DK349" s="3">
        <v>1</v>
      </c>
      <c r="DL349" s="3">
        <v>1</v>
      </c>
      <c r="DM349" s="3">
        <v>1</v>
      </c>
      <c r="DN349" s="3">
        <v>1</v>
      </c>
      <c r="DO349" s="3">
        <v>3</v>
      </c>
      <c r="DP349" s="3"/>
      <c r="DQ349" s="19">
        <v>1</v>
      </c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</row>
    <row r="350" spans="1:142" ht="15" customHeight="1" x14ac:dyDescent="0.25">
      <c r="A350" s="6" t="s">
        <v>489</v>
      </c>
      <c r="B350" s="2" t="s">
        <v>784</v>
      </c>
      <c r="C350" s="2" t="s">
        <v>1652</v>
      </c>
      <c r="D350" s="25" t="s">
        <v>1605</v>
      </c>
      <c r="E350" s="4" t="s">
        <v>1190</v>
      </c>
      <c r="F350" s="4" t="s">
        <v>1209</v>
      </c>
      <c r="G350" s="29"/>
      <c r="H350" s="4" t="s">
        <v>127</v>
      </c>
      <c r="I350" s="5"/>
      <c r="J350" s="5"/>
      <c r="K350" s="3"/>
      <c r="M350" s="5"/>
      <c r="N350" s="2" t="s">
        <v>1653</v>
      </c>
      <c r="O350" s="28" t="s">
        <v>2693</v>
      </c>
      <c r="P350" s="3"/>
      <c r="Q350" s="27">
        <v>2</v>
      </c>
      <c r="R350" s="3"/>
      <c r="S350" s="3">
        <v>1</v>
      </c>
      <c r="T350" s="3">
        <v>3</v>
      </c>
      <c r="U350" s="3">
        <v>9</v>
      </c>
      <c r="V350" s="3"/>
      <c r="W350" s="3">
        <v>4</v>
      </c>
      <c r="X350" s="3"/>
      <c r="Z350" s="3"/>
      <c r="AA350" s="3"/>
      <c r="AB350" s="3">
        <v>8</v>
      </c>
      <c r="AC350" s="3">
        <v>7</v>
      </c>
      <c r="AD350" s="3"/>
      <c r="AE350" s="3"/>
      <c r="AF350" s="3">
        <v>1</v>
      </c>
      <c r="AG350" s="3"/>
      <c r="AH350" s="3"/>
      <c r="AI350" s="3">
        <v>9</v>
      </c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>
        <v>9</v>
      </c>
      <c r="AX350" s="3"/>
      <c r="AY350" s="3">
        <v>9</v>
      </c>
      <c r="AZ350" s="3"/>
      <c r="BA350" s="3"/>
      <c r="BB350" s="3">
        <v>9</v>
      </c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>
        <v>4</v>
      </c>
      <c r="BO350" s="3"/>
      <c r="BP350" s="3">
        <v>4</v>
      </c>
      <c r="BQ350" s="3">
        <v>1</v>
      </c>
      <c r="BR350" s="3">
        <v>1</v>
      </c>
      <c r="BS350" s="3">
        <v>1</v>
      </c>
      <c r="BT350" s="3">
        <v>1</v>
      </c>
      <c r="BU350" s="3">
        <v>1</v>
      </c>
      <c r="BV350" s="3">
        <v>3</v>
      </c>
      <c r="BW350" s="3">
        <v>1</v>
      </c>
      <c r="BX350" s="3">
        <v>1</v>
      </c>
      <c r="BY350" s="3">
        <v>1</v>
      </c>
      <c r="BZ350" s="3">
        <v>1</v>
      </c>
      <c r="CA350" s="3">
        <v>3</v>
      </c>
      <c r="CB350" s="3">
        <v>1</v>
      </c>
      <c r="CC350" s="3">
        <v>3</v>
      </c>
      <c r="CD350" s="3">
        <v>1</v>
      </c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T350" s="3"/>
      <c r="CU350" s="3"/>
      <c r="CV350" s="3"/>
      <c r="CW350" s="3"/>
      <c r="CX350" s="3"/>
      <c r="CY350" s="3"/>
      <c r="CZ350" s="3">
        <v>3</v>
      </c>
      <c r="DA350" s="3">
        <v>1</v>
      </c>
      <c r="DB350" s="3">
        <v>1</v>
      </c>
      <c r="DC350" s="3">
        <v>1</v>
      </c>
      <c r="DD350" s="3">
        <v>1</v>
      </c>
      <c r="DE350" s="3">
        <v>1</v>
      </c>
      <c r="DF350" s="3">
        <v>1</v>
      </c>
      <c r="DG350" s="3">
        <v>1</v>
      </c>
      <c r="DH350" s="3">
        <v>1</v>
      </c>
      <c r="DI350" s="3">
        <v>1</v>
      </c>
      <c r="DJ350" s="3">
        <v>1</v>
      </c>
      <c r="DK350" s="3">
        <v>1</v>
      </c>
      <c r="DL350" s="3"/>
      <c r="DM350" s="3"/>
      <c r="DN350" s="3"/>
      <c r="DO350" s="3"/>
      <c r="DP350" s="3"/>
      <c r="DQ350" s="19">
        <v>1</v>
      </c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</row>
    <row r="351" spans="1:142" ht="15" customHeight="1" x14ac:dyDescent="0.25">
      <c r="A351" s="6" t="s">
        <v>490</v>
      </c>
      <c r="B351" s="2" t="s">
        <v>784</v>
      </c>
      <c r="C351" s="2" t="s">
        <v>1654</v>
      </c>
      <c r="D351" s="25" t="s">
        <v>1605</v>
      </c>
      <c r="E351" s="4" t="s">
        <v>1190</v>
      </c>
      <c r="F351" s="5"/>
      <c r="G351" s="29"/>
      <c r="H351" s="4" t="s">
        <v>125</v>
      </c>
      <c r="I351" s="5"/>
      <c r="J351" s="5"/>
      <c r="K351" s="3"/>
      <c r="M351" s="5"/>
      <c r="N351" s="2" t="s">
        <v>1655</v>
      </c>
      <c r="O351" s="28" t="s">
        <v>2694</v>
      </c>
      <c r="P351" s="3"/>
      <c r="Q351" s="27">
        <v>2</v>
      </c>
      <c r="R351" s="3"/>
      <c r="S351" s="3"/>
      <c r="T351" s="3"/>
      <c r="U351" s="3">
        <v>9</v>
      </c>
      <c r="V351" s="3"/>
      <c r="W351" s="3">
        <v>8</v>
      </c>
      <c r="X351" s="3"/>
      <c r="Z351" s="3"/>
      <c r="AA351" s="3"/>
      <c r="AB351" s="3">
        <v>9</v>
      </c>
      <c r="AC351" s="3">
        <v>9</v>
      </c>
      <c r="AD351" s="3"/>
      <c r="AE351" s="3"/>
      <c r="AF351" s="3">
        <v>1</v>
      </c>
      <c r="AG351" s="3"/>
      <c r="AH351" s="3"/>
      <c r="AI351" s="3"/>
      <c r="AJ351" s="3">
        <v>4</v>
      </c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>
        <v>2</v>
      </c>
      <c r="AY351" s="3"/>
      <c r="AZ351" s="3">
        <v>2</v>
      </c>
      <c r="BA351" s="3">
        <v>1</v>
      </c>
      <c r="BB351" s="3">
        <v>9</v>
      </c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>
        <v>4</v>
      </c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19">
        <v>1</v>
      </c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</row>
    <row r="352" spans="1:142" ht="15" customHeight="1" x14ac:dyDescent="0.25">
      <c r="A352" s="6" t="s">
        <v>491</v>
      </c>
      <c r="B352" s="2" t="s">
        <v>784</v>
      </c>
      <c r="C352" s="2" t="s">
        <v>1656</v>
      </c>
      <c r="D352" s="25" t="s">
        <v>1605</v>
      </c>
      <c r="E352" s="4" t="s">
        <v>1190</v>
      </c>
      <c r="F352" s="4" t="s">
        <v>1320</v>
      </c>
      <c r="G352" s="26">
        <v>1982</v>
      </c>
      <c r="H352" s="4" t="s">
        <v>126</v>
      </c>
      <c r="I352" s="5"/>
      <c r="J352" s="5"/>
      <c r="K352" s="3"/>
      <c r="M352" s="4" t="s">
        <v>1657</v>
      </c>
      <c r="N352" s="2" t="s">
        <v>1658</v>
      </c>
      <c r="O352" s="28" t="s">
        <v>2695</v>
      </c>
      <c r="P352" s="3"/>
      <c r="Q352" s="27">
        <v>2</v>
      </c>
      <c r="R352" s="3"/>
      <c r="S352" s="3">
        <v>1</v>
      </c>
      <c r="T352" s="3"/>
      <c r="U352" s="3">
        <v>9</v>
      </c>
      <c r="V352" s="3"/>
      <c r="W352" s="3">
        <v>4</v>
      </c>
      <c r="X352" s="3"/>
      <c r="Z352" s="3"/>
      <c r="AA352" s="3"/>
      <c r="AB352" s="3">
        <v>8</v>
      </c>
      <c r="AC352" s="3">
        <v>7</v>
      </c>
      <c r="AD352" s="3"/>
      <c r="AE352" s="3"/>
      <c r="AF352" s="3">
        <v>1</v>
      </c>
      <c r="AG352" s="3"/>
      <c r="AH352" s="3"/>
      <c r="AI352" s="3">
        <v>9</v>
      </c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>
        <v>9</v>
      </c>
      <c r="AX352" s="3"/>
      <c r="AY352" s="3">
        <v>1</v>
      </c>
      <c r="AZ352" s="3"/>
      <c r="BA352" s="3">
        <v>1</v>
      </c>
      <c r="BB352" s="3">
        <v>9</v>
      </c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>
        <v>5</v>
      </c>
      <c r="BN352" s="3">
        <v>1</v>
      </c>
      <c r="BO352" s="3"/>
      <c r="BP352" s="3"/>
      <c r="BQ352" s="3">
        <v>1</v>
      </c>
      <c r="BR352" s="3">
        <v>1</v>
      </c>
      <c r="BS352" s="3">
        <v>1</v>
      </c>
      <c r="BT352" s="19">
        <v>3</v>
      </c>
      <c r="BU352" s="3">
        <v>1</v>
      </c>
      <c r="BV352" s="3">
        <v>1</v>
      </c>
      <c r="BW352" s="19">
        <v>3</v>
      </c>
      <c r="BX352" s="19">
        <v>3</v>
      </c>
      <c r="BY352" s="19">
        <v>3</v>
      </c>
      <c r="BZ352" s="19">
        <v>1</v>
      </c>
      <c r="CA352" s="19">
        <v>3</v>
      </c>
      <c r="CB352" s="19">
        <v>2</v>
      </c>
      <c r="CC352" s="19">
        <v>3</v>
      </c>
      <c r="CD352" s="3">
        <v>2</v>
      </c>
      <c r="CE352" s="19">
        <v>2</v>
      </c>
      <c r="CF352" s="3">
        <v>3</v>
      </c>
      <c r="CG352" s="19">
        <v>5</v>
      </c>
      <c r="CH352" s="3">
        <v>3</v>
      </c>
      <c r="CI352" s="3">
        <v>3</v>
      </c>
      <c r="CJ352" s="3">
        <v>1</v>
      </c>
      <c r="CK352" s="3">
        <v>1</v>
      </c>
      <c r="CL352" s="3">
        <v>1</v>
      </c>
      <c r="CM352" s="3"/>
      <c r="CN352" s="3"/>
      <c r="CO352" s="3"/>
      <c r="CP352" s="3"/>
      <c r="CT352" s="3">
        <v>2</v>
      </c>
      <c r="CU352" s="3">
        <v>2</v>
      </c>
      <c r="CV352" s="3">
        <v>1</v>
      </c>
      <c r="CW352" s="3">
        <v>1</v>
      </c>
      <c r="CX352" s="3">
        <v>1</v>
      </c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>
        <v>1</v>
      </c>
      <c r="DM352" s="3">
        <v>1</v>
      </c>
      <c r="DN352" s="3">
        <v>1</v>
      </c>
      <c r="DO352" s="3">
        <v>1</v>
      </c>
      <c r="DP352" s="3"/>
      <c r="DQ352" s="19">
        <v>1</v>
      </c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</row>
    <row r="353" spans="1:142" ht="15" customHeight="1" x14ac:dyDescent="0.25">
      <c r="A353" s="6" t="s">
        <v>492</v>
      </c>
      <c r="B353" s="2" t="s">
        <v>784</v>
      </c>
      <c r="C353" s="2" t="s">
        <v>1659</v>
      </c>
      <c r="D353" s="25" t="s">
        <v>1605</v>
      </c>
      <c r="E353" s="4" t="s">
        <v>1190</v>
      </c>
      <c r="F353" s="4" t="s">
        <v>1320</v>
      </c>
      <c r="G353" s="26">
        <v>1982</v>
      </c>
      <c r="H353" s="4" t="s">
        <v>128</v>
      </c>
      <c r="I353" s="5"/>
      <c r="J353" s="5"/>
      <c r="K353" s="3"/>
      <c r="M353" s="4" t="s">
        <v>1660</v>
      </c>
      <c r="N353" s="2" t="s">
        <v>1661</v>
      </c>
      <c r="O353" s="28" t="s">
        <v>2696</v>
      </c>
      <c r="P353" s="3"/>
      <c r="Q353" s="27">
        <v>2</v>
      </c>
      <c r="R353" s="3"/>
      <c r="S353" s="3">
        <v>1</v>
      </c>
      <c r="T353" s="3"/>
      <c r="U353" s="3">
        <v>9</v>
      </c>
      <c r="V353" s="3"/>
      <c r="W353" s="3">
        <v>8</v>
      </c>
      <c r="X353" s="3"/>
      <c r="Z353" s="3"/>
      <c r="AA353" s="3"/>
      <c r="AB353" s="3">
        <v>1</v>
      </c>
      <c r="AC353" s="3">
        <v>9</v>
      </c>
      <c r="AD353" s="3"/>
      <c r="AE353" s="3"/>
      <c r="AF353" s="3">
        <v>1</v>
      </c>
      <c r="AG353" s="3"/>
      <c r="AH353" s="3"/>
      <c r="AI353" s="3">
        <v>1</v>
      </c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>
        <v>9</v>
      </c>
      <c r="AX353" s="3"/>
      <c r="AY353" s="3">
        <v>1</v>
      </c>
      <c r="AZ353" s="3"/>
      <c r="BA353" s="3">
        <v>1</v>
      </c>
      <c r="BB353" s="3">
        <v>9</v>
      </c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>
        <v>4</v>
      </c>
      <c r="BO353" s="3"/>
      <c r="BP353" s="3"/>
      <c r="BQ353" s="3"/>
      <c r="BR353" s="3"/>
      <c r="BS353" s="3"/>
      <c r="BT353" s="3"/>
      <c r="BU353" s="3">
        <v>1</v>
      </c>
      <c r="BV353" s="3">
        <v>1</v>
      </c>
      <c r="BW353" s="3"/>
      <c r="BX353" s="3"/>
      <c r="BY353" s="3"/>
      <c r="BZ353" s="3"/>
      <c r="CA353" s="3"/>
      <c r="CB353" s="3"/>
      <c r="CC353" s="3"/>
      <c r="CD353" s="3">
        <v>1</v>
      </c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19">
        <v>1</v>
      </c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</row>
    <row r="354" spans="1:142" ht="15" customHeight="1" x14ac:dyDescent="0.25">
      <c r="A354" s="6" t="s">
        <v>493</v>
      </c>
      <c r="B354" s="2" t="s">
        <v>784</v>
      </c>
      <c r="C354" s="2" t="s">
        <v>1662</v>
      </c>
      <c r="D354" s="25" t="s">
        <v>1605</v>
      </c>
      <c r="E354" s="4" t="s">
        <v>1190</v>
      </c>
      <c r="F354" s="4" t="s">
        <v>1068</v>
      </c>
      <c r="G354" s="26">
        <v>1982</v>
      </c>
      <c r="H354" s="5"/>
      <c r="I354" s="5"/>
      <c r="J354" s="5"/>
      <c r="K354" s="3"/>
      <c r="M354" s="4" t="s">
        <v>1663</v>
      </c>
      <c r="N354" s="2" t="s">
        <v>1664</v>
      </c>
      <c r="O354" s="28" t="s">
        <v>2697</v>
      </c>
      <c r="P354" s="3"/>
      <c r="Q354" s="27">
        <v>2</v>
      </c>
      <c r="R354" s="3"/>
      <c r="S354" s="3">
        <v>1</v>
      </c>
      <c r="T354" s="3"/>
      <c r="U354" s="3">
        <v>9</v>
      </c>
      <c r="V354" s="3"/>
      <c r="W354" s="3">
        <v>4</v>
      </c>
      <c r="X354" s="3"/>
      <c r="Z354" s="3"/>
      <c r="AA354" s="3"/>
      <c r="AB354" s="3">
        <v>8</v>
      </c>
      <c r="AC354" s="3">
        <v>8</v>
      </c>
      <c r="AD354" s="3"/>
      <c r="AE354" s="3"/>
      <c r="AF354" s="3">
        <v>1</v>
      </c>
      <c r="AG354" s="3"/>
      <c r="AH354" s="3"/>
      <c r="AI354" s="3">
        <v>9</v>
      </c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>
        <v>9</v>
      </c>
      <c r="AX354" s="3"/>
      <c r="AY354" s="3">
        <v>9</v>
      </c>
      <c r="AZ354" s="3"/>
      <c r="BA354" s="3">
        <v>1</v>
      </c>
      <c r="BB354" s="3">
        <v>9</v>
      </c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>
        <v>7</v>
      </c>
      <c r="BN354" s="3">
        <v>2</v>
      </c>
      <c r="BO354" s="3"/>
      <c r="BP354" s="3"/>
      <c r="BQ354" s="3">
        <v>2</v>
      </c>
      <c r="BR354" s="3"/>
      <c r="BS354" s="3">
        <v>1</v>
      </c>
      <c r="BT354" s="3">
        <v>1</v>
      </c>
      <c r="BU354" s="3">
        <v>2</v>
      </c>
      <c r="BV354" s="3">
        <v>2</v>
      </c>
      <c r="BW354" s="3">
        <v>2</v>
      </c>
      <c r="BX354" s="3">
        <v>1</v>
      </c>
      <c r="BY354" s="3">
        <v>2</v>
      </c>
      <c r="BZ354" s="3">
        <v>1</v>
      </c>
      <c r="CA354" s="3"/>
      <c r="CB354" s="3">
        <v>1</v>
      </c>
      <c r="CC354" s="3"/>
      <c r="CD354" s="3">
        <v>3</v>
      </c>
      <c r="CE354" s="19">
        <v>2</v>
      </c>
      <c r="CF354" s="3">
        <v>9</v>
      </c>
      <c r="CG354" s="19">
        <v>5</v>
      </c>
      <c r="CH354" s="3">
        <v>4</v>
      </c>
      <c r="CI354" s="3">
        <v>4</v>
      </c>
      <c r="CJ354" s="3">
        <v>2</v>
      </c>
      <c r="CK354" s="3">
        <v>9</v>
      </c>
      <c r="CL354" s="3"/>
      <c r="CM354" s="3"/>
      <c r="CN354" s="3"/>
      <c r="CO354" s="3"/>
      <c r="CP354" s="3"/>
      <c r="CT354" s="3">
        <v>5</v>
      </c>
      <c r="CU354" s="3">
        <v>3</v>
      </c>
      <c r="CV354" s="3">
        <v>3</v>
      </c>
      <c r="CW354" s="3">
        <v>1</v>
      </c>
      <c r="CX354" s="3">
        <v>1</v>
      </c>
      <c r="CY354" s="3"/>
      <c r="CZ354" s="3">
        <v>1</v>
      </c>
      <c r="DA354" s="3">
        <v>1</v>
      </c>
      <c r="DB354" s="3">
        <v>1</v>
      </c>
      <c r="DC354" s="3">
        <v>1</v>
      </c>
      <c r="DD354" s="3">
        <v>1</v>
      </c>
      <c r="DE354" s="3">
        <v>1</v>
      </c>
      <c r="DF354" s="3">
        <v>1</v>
      </c>
      <c r="DG354" s="3">
        <v>1</v>
      </c>
      <c r="DH354" s="3">
        <v>1</v>
      </c>
      <c r="DI354" s="3">
        <v>1</v>
      </c>
      <c r="DJ354" s="3">
        <v>1</v>
      </c>
      <c r="DK354" s="3">
        <v>1</v>
      </c>
      <c r="DL354" s="3">
        <v>1</v>
      </c>
      <c r="DM354" s="3">
        <v>1</v>
      </c>
      <c r="DN354" s="3">
        <v>1</v>
      </c>
      <c r="DO354" s="3">
        <v>2</v>
      </c>
      <c r="DP354" s="3"/>
      <c r="DQ354" s="19">
        <v>1</v>
      </c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</row>
    <row r="355" spans="1:142" ht="15" customHeight="1" x14ac:dyDescent="0.25">
      <c r="A355" s="6" t="s">
        <v>494</v>
      </c>
      <c r="B355" s="2" t="s">
        <v>784</v>
      </c>
      <c r="C355" s="2" t="s">
        <v>1665</v>
      </c>
      <c r="D355" s="25" t="s">
        <v>1605</v>
      </c>
      <c r="E355" s="4" t="s">
        <v>1190</v>
      </c>
      <c r="F355" s="4" t="s">
        <v>1086</v>
      </c>
      <c r="G355" s="26">
        <v>1989</v>
      </c>
      <c r="H355" s="5"/>
      <c r="I355" s="5"/>
      <c r="J355" s="5"/>
      <c r="K355" s="3"/>
      <c r="M355" s="5"/>
      <c r="N355" s="2" t="s">
        <v>1666</v>
      </c>
      <c r="O355" s="28" t="s">
        <v>2698</v>
      </c>
      <c r="P355" s="3"/>
      <c r="Q355" s="27">
        <v>2</v>
      </c>
      <c r="R355" s="3"/>
      <c r="S355" s="3">
        <v>1</v>
      </c>
      <c r="T355" s="3"/>
      <c r="U355" s="3">
        <v>9</v>
      </c>
      <c r="V355" s="3"/>
      <c r="W355" s="3">
        <v>8</v>
      </c>
      <c r="X355" s="3"/>
      <c r="Z355" s="3"/>
      <c r="AA355" s="3"/>
      <c r="AB355" s="3">
        <v>8</v>
      </c>
      <c r="AC355" s="3">
        <v>9</v>
      </c>
      <c r="AD355" s="3"/>
      <c r="AE355" s="3"/>
      <c r="AF355" s="3">
        <v>1</v>
      </c>
      <c r="AG355" s="3"/>
      <c r="AH355" s="3"/>
      <c r="AI355" s="3">
        <v>1</v>
      </c>
      <c r="AJ355" s="3">
        <v>1</v>
      </c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>
        <v>9</v>
      </c>
      <c r="AX355" s="3">
        <v>2</v>
      </c>
      <c r="AY355" s="3">
        <v>1</v>
      </c>
      <c r="AZ355" s="3">
        <v>1</v>
      </c>
      <c r="BA355" s="3">
        <v>1</v>
      </c>
      <c r="BB355" s="3">
        <v>9</v>
      </c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>
        <v>1</v>
      </c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R355" s="3"/>
      <c r="DS355" s="3"/>
      <c r="DT355" s="3"/>
    </row>
    <row r="356" spans="1:142" ht="15" customHeight="1" x14ac:dyDescent="0.25">
      <c r="A356" s="6" t="s">
        <v>495</v>
      </c>
      <c r="B356" s="2" t="s">
        <v>784</v>
      </c>
      <c r="C356" s="2" t="s">
        <v>1667</v>
      </c>
      <c r="D356" s="25" t="s">
        <v>1605</v>
      </c>
      <c r="E356" s="4" t="s">
        <v>1190</v>
      </c>
      <c r="F356" s="4" t="s">
        <v>1068</v>
      </c>
      <c r="G356" s="26">
        <v>1990</v>
      </c>
      <c r="H356" s="5"/>
      <c r="I356" s="5"/>
      <c r="J356" s="5"/>
      <c r="K356" s="3"/>
      <c r="M356" s="5"/>
      <c r="N356" s="2" t="s">
        <v>1668</v>
      </c>
      <c r="O356" s="28" t="s">
        <v>2699</v>
      </c>
      <c r="P356" s="3"/>
      <c r="Q356" s="27">
        <v>2</v>
      </c>
      <c r="R356" s="3"/>
      <c r="S356" s="3"/>
      <c r="T356" s="3"/>
      <c r="U356" s="3"/>
      <c r="V356" s="3"/>
      <c r="W356" s="3">
        <v>4</v>
      </c>
      <c r="X356" s="3"/>
      <c r="Z356" s="3"/>
      <c r="AA356" s="3"/>
      <c r="AB356" s="3">
        <v>8</v>
      </c>
      <c r="AC356" s="3">
        <v>8</v>
      </c>
      <c r="AD356" s="3"/>
      <c r="AE356" s="3"/>
      <c r="AF356" s="3">
        <v>1</v>
      </c>
      <c r="AG356" s="3"/>
      <c r="AH356" s="3"/>
      <c r="AI356" s="3"/>
      <c r="AJ356" s="3">
        <v>4</v>
      </c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>
        <v>5</v>
      </c>
      <c r="AY356" s="3"/>
      <c r="AZ356" s="3">
        <v>1</v>
      </c>
      <c r="BA356" s="3">
        <v>1</v>
      </c>
      <c r="BB356" s="3">
        <v>9</v>
      </c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R356" s="3"/>
      <c r="DS356" s="3"/>
      <c r="DT356" s="3"/>
    </row>
    <row r="357" spans="1:142" ht="15" customHeight="1" x14ac:dyDescent="0.25">
      <c r="A357" s="6" t="s">
        <v>496</v>
      </c>
      <c r="B357" s="2" t="s">
        <v>784</v>
      </c>
      <c r="C357" s="2" t="s">
        <v>1669</v>
      </c>
      <c r="D357" s="25" t="s">
        <v>1605</v>
      </c>
      <c r="E357" s="4" t="s">
        <v>1190</v>
      </c>
      <c r="F357" s="4" t="s">
        <v>1068</v>
      </c>
      <c r="G357" s="26">
        <v>1990</v>
      </c>
      <c r="H357" s="5"/>
      <c r="I357" s="5"/>
      <c r="J357" s="5"/>
      <c r="K357" s="3"/>
      <c r="M357" s="5"/>
      <c r="N357" s="2" t="s">
        <v>1670</v>
      </c>
      <c r="O357" s="28" t="s">
        <v>2700</v>
      </c>
      <c r="P357" s="3"/>
      <c r="Q357" s="27">
        <v>2</v>
      </c>
      <c r="R357" s="3"/>
      <c r="S357" s="3"/>
      <c r="T357" s="3"/>
      <c r="U357" s="3"/>
      <c r="V357" s="3"/>
      <c r="W357" s="3">
        <v>4</v>
      </c>
      <c r="X357" s="3"/>
      <c r="Z357" s="3"/>
      <c r="AA357" s="3"/>
      <c r="AB357" s="3">
        <v>9</v>
      </c>
      <c r="AC357" s="3">
        <v>8</v>
      </c>
      <c r="AD357" s="3"/>
      <c r="AE357" s="3"/>
      <c r="AF357" s="3">
        <v>1</v>
      </c>
      <c r="AG357" s="3"/>
      <c r="AH357" s="3"/>
      <c r="AI357" s="3"/>
      <c r="AJ357" s="3">
        <v>2</v>
      </c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>
        <v>5</v>
      </c>
      <c r="AY357" s="3"/>
      <c r="AZ357" s="3">
        <v>1</v>
      </c>
      <c r="BA357" s="3">
        <v>1</v>
      </c>
      <c r="BB357" s="3">
        <v>9</v>
      </c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>
        <v>8</v>
      </c>
      <c r="BN357" s="3">
        <v>1</v>
      </c>
      <c r="BO357" s="3"/>
      <c r="BP357" s="3"/>
      <c r="BQ357" s="3">
        <v>1</v>
      </c>
      <c r="BR357" s="3">
        <v>2</v>
      </c>
      <c r="BS357" s="3"/>
      <c r="BT357" s="19">
        <v>1</v>
      </c>
      <c r="BU357" s="3">
        <v>1</v>
      </c>
      <c r="BV357" s="19">
        <v>1</v>
      </c>
      <c r="BW357" s="19">
        <v>1</v>
      </c>
      <c r="BX357" s="19">
        <v>9</v>
      </c>
      <c r="BY357" s="19">
        <v>1</v>
      </c>
      <c r="BZ357" s="19">
        <v>1</v>
      </c>
      <c r="CA357" s="19">
        <v>3</v>
      </c>
      <c r="CB357" s="19">
        <v>1</v>
      </c>
      <c r="CC357" s="19">
        <v>5</v>
      </c>
      <c r="CD357" s="3">
        <v>1</v>
      </c>
      <c r="CE357" s="19">
        <v>1</v>
      </c>
      <c r="CF357" s="3">
        <v>1</v>
      </c>
      <c r="CG357" s="19">
        <v>1</v>
      </c>
      <c r="CH357" s="3">
        <v>2</v>
      </c>
      <c r="CI357" s="3">
        <v>3</v>
      </c>
      <c r="CJ357" s="3">
        <v>1</v>
      </c>
      <c r="CK357" s="3">
        <v>1</v>
      </c>
      <c r="CL357" s="3">
        <v>1</v>
      </c>
      <c r="CM357" s="3"/>
      <c r="CN357" s="3"/>
      <c r="CO357" s="3"/>
      <c r="CP357" s="3"/>
      <c r="CT357" s="3">
        <v>1</v>
      </c>
      <c r="CU357" s="3">
        <v>1</v>
      </c>
      <c r="CV357" s="3">
        <v>1</v>
      </c>
      <c r="CW357" s="3">
        <v>1</v>
      </c>
      <c r="CX357" s="3">
        <v>1</v>
      </c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19">
        <v>9</v>
      </c>
      <c r="DR357" s="3"/>
      <c r="DS357" s="3"/>
      <c r="DT357" s="3"/>
    </row>
    <row r="358" spans="1:142" ht="15" customHeight="1" x14ac:dyDescent="0.25">
      <c r="A358" s="6" t="s">
        <v>497</v>
      </c>
      <c r="B358" s="2" t="s">
        <v>784</v>
      </c>
      <c r="C358" s="2" t="s">
        <v>1671</v>
      </c>
      <c r="D358" s="25" t="s">
        <v>1605</v>
      </c>
      <c r="E358" s="4" t="s">
        <v>1190</v>
      </c>
      <c r="F358" s="4" t="s">
        <v>1408</v>
      </c>
      <c r="G358" s="26">
        <v>1991</v>
      </c>
      <c r="H358" s="5"/>
      <c r="I358" s="5"/>
      <c r="J358" s="5"/>
      <c r="K358" s="3"/>
      <c r="M358" s="5"/>
      <c r="N358" s="2" t="s">
        <v>1672</v>
      </c>
      <c r="O358" s="28" t="s">
        <v>2701</v>
      </c>
      <c r="P358" s="3"/>
      <c r="Q358" s="27">
        <v>2</v>
      </c>
      <c r="R358" s="3"/>
      <c r="S358" s="3"/>
      <c r="T358" s="3"/>
      <c r="U358" s="3"/>
      <c r="V358" s="3"/>
      <c r="W358" s="3">
        <v>8</v>
      </c>
      <c r="X358" s="3"/>
      <c r="Z358" s="3"/>
      <c r="AA358" s="3"/>
      <c r="AB358" s="3">
        <v>8</v>
      </c>
      <c r="AC358" s="3">
        <v>8</v>
      </c>
      <c r="AD358" s="3"/>
      <c r="AE358" s="3"/>
      <c r="AF358" s="3">
        <v>1</v>
      </c>
      <c r="AG358" s="3"/>
      <c r="AH358" s="3"/>
      <c r="AI358" s="3"/>
      <c r="AJ358" s="3">
        <v>4</v>
      </c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>
        <v>3</v>
      </c>
      <c r="AY358" s="3"/>
      <c r="AZ358" s="3">
        <v>1</v>
      </c>
      <c r="BA358" s="3">
        <v>1</v>
      </c>
      <c r="BB358" s="3">
        <v>9</v>
      </c>
      <c r="BC358" s="3"/>
      <c r="BD358" s="3"/>
      <c r="BE358" s="3"/>
      <c r="BF358" s="3"/>
      <c r="BG358" s="3">
        <v>9</v>
      </c>
      <c r="BH358" s="3"/>
      <c r="BI358" s="3"/>
      <c r="BJ358" s="3"/>
      <c r="BK358" s="3"/>
      <c r="BL358" s="3"/>
      <c r="BM358" s="3">
        <v>8</v>
      </c>
      <c r="BN358" s="3">
        <v>1</v>
      </c>
      <c r="BO358" s="3"/>
      <c r="BP358" s="3"/>
      <c r="BQ358" s="3">
        <v>1</v>
      </c>
      <c r="BR358" s="3">
        <v>1</v>
      </c>
      <c r="BS358" s="3"/>
      <c r="BT358" s="19">
        <v>1</v>
      </c>
      <c r="BU358" s="3">
        <v>1</v>
      </c>
      <c r="BV358" s="19">
        <v>1</v>
      </c>
      <c r="BW358" s="19">
        <v>1</v>
      </c>
      <c r="BX358" s="19">
        <v>1</v>
      </c>
      <c r="BY358" s="19">
        <v>1</v>
      </c>
      <c r="BZ358" s="19">
        <v>1</v>
      </c>
      <c r="CA358" s="19">
        <v>1</v>
      </c>
      <c r="CB358" s="19">
        <v>1</v>
      </c>
      <c r="CC358" s="19">
        <v>1</v>
      </c>
      <c r="CD358" s="3">
        <v>1</v>
      </c>
      <c r="CE358" s="19">
        <v>1</v>
      </c>
      <c r="CF358" s="3">
        <v>1</v>
      </c>
      <c r="CG358" s="19">
        <v>1</v>
      </c>
      <c r="CH358" s="3">
        <v>1</v>
      </c>
      <c r="CI358" s="3">
        <v>1</v>
      </c>
      <c r="CJ358" s="3">
        <v>1</v>
      </c>
      <c r="CK358" s="3">
        <v>1</v>
      </c>
      <c r="CL358" s="3">
        <v>1</v>
      </c>
      <c r="CM358" s="3"/>
      <c r="CN358" s="3"/>
      <c r="CO358" s="3"/>
      <c r="CP358" s="3"/>
      <c r="CT358" s="3">
        <v>1</v>
      </c>
      <c r="CU358" s="3">
        <v>1</v>
      </c>
      <c r="CV358" s="3">
        <v>1</v>
      </c>
      <c r="CW358" s="3"/>
      <c r="CX358" s="3">
        <v>1</v>
      </c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19">
        <v>1</v>
      </c>
      <c r="DR358" s="3"/>
      <c r="DS358" s="3"/>
      <c r="DT358" s="3"/>
    </row>
    <row r="359" spans="1:142" ht="15" customHeight="1" x14ac:dyDescent="0.25">
      <c r="A359" s="6" t="s">
        <v>498</v>
      </c>
      <c r="B359" s="2" t="s">
        <v>784</v>
      </c>
      <c r="C359" s="2" t="s">
        <v>1673</v>
      </c>
      <c r="D359" s="25" t="s">
        <v>1605</v>
      </c>
      <c r="E359" s="4" t="s">
        <v>1190</v>
      </c>
      <c r="F359" s="4" t="s">
        <v>1387</v>
      </c>
      <c r="G359" s="26">
        <v>1991</v>
      </c>
      <c r="H359" s="5"/>
      <c r="I359" s="5"/>
      <c r="J359" s="5"/>
      <c r="M359" s="5"/>
      <c r="N359" s="2" t="s">
        <v>1674</v>
      </c>
      <c r="O359" s="28" t="s">
        <v>2702</v>
      </c>
      <c r="P359" s="3"/>
      <c r="Q359" s="27">
        <v>2</v>
      </c>
      <c r="R359" s="3"/>
      <c r="S359" s="3"/>
      <c r="T359" s="3"/>
      <c r="U359" s="3"/>
      <c r="V359" s="3"/>
      <c r="W359" s="3">
        <v>8</v>
      </c>
      <c r="X359" s="3"/>
      <c r="Z359" s="3"/>
      <c r="AA359" s="3"/>
      <c r="AB359" s="3">
        <v>8</v>
      </c>
      <c r="AC359" s="3">
        <v>8</v>
      </c>
      <c r="AD359" s="3"/>
      <c r="AE359" s="3"/>
      <c r="AF359" s="3">
        <v>1</v>
      </c>
      <c r="AG359" s="3"/>
      <c r="AH359" s="3"/>
      <c r="AI359" s="3"/>
      <c r="AJ359" s="3">
        <v>4</v>
      </c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>
        <v>4</v>
      </c>
      <c r="AY359" s="3"/>
      <c r="AZ359" s="3">
        <v>2</v>
      </c>
      <c r="BA359" s="3">
        <v>1</v>
      </c>
      <c r="BB359" s="3">
        <v>9</v>
      </c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R359" s="3"/>
    </row>
    <row r="360" spans="1:142" ht="15" customHeight="1" x14ac:dyDescent="0.25">
      <c r="A360" s="6" t="s">
        <v>499</v>
      </c>
      <c r="B360" s="2" t="s">
        <v>784</v>
      </c>
      <c r="C360" s="2" t="s">
        <v>1675</v>
      </c>
      <c r="D360" s="25" t="s">
        <v>1605</v>
      </c>
      <c r="E360" s="4" t="s">
        <v>1190</v>
      </c>
      <c r="F360" s="4" t="s">
        <v>1096</v>
      </c>
      <c r="G360" s="26">
        <v>1991</v>
      </c>
      <c r="H360" s="5"/>
      <c r="I360" s="5"/>
      <c r="J360" s="5"/>
      <c r="M360" s="5"/>
      <c r="N360" s="2" t="s">
        <v>1676</v>
      </c>
      <c r="O360" s="28" t="s">
        <v>2703</v>
      </c>
      <c r="P360" s="3"/>
      <c r="Q360" s="27">
        <v>2</v>
      </c>
      <c r="R360" s="3"/>
      <c r="S360" s="3"/>
      <c r="T360" s="3"/>
      <c r="U360" s="3"/>
      <c r="V360" s="3"/>
      <c r="W360" s="3">
        <v>4</v>
      </c>
      <c r="X360" s="3"/>
      <c r="Z360" s="3"/>
      <c r="AA360" s="3"/>
      <c r="AB360" s="3">
        <v>8</v>
      </c>
      <c r="AC360" s="3">
        <v>8</v>
      </c>
      <c r="AD360" s="3"/>
      <c r="AE360" s="3"/>
      <c r="AF360" s="3"/>
      <c r="AG360" s="3"/>
      <c r="AH360" s="3"/>
      <c r="AI360" s="3"/>
      <c r="AJ360" s="3">
        <v>3</v>
      </c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>
        <v>3</v>
      </c>
      <c r="AY360" s="3"/>
      <c r="AZ360" s="3">
        <v>1</v>
      </c>
      <c r="BA360" s="3"/>
      <c r="BB360" s="3">
        <v>9</v>
      </c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>
        <v>2</v>
      </c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>
        <v>2</v>
      </c>
      <c r="DM360" s="3">
        <v>2</v>
      </c>
      <c r="DN360" s="3">
        <v>2</v>
      </c>
      <c r="DO360" s="3">
        <v>1</v>
      </c>
      <c r="DP360" s="3"/>
      <c r="DQ360" s="19">
        <v>9</v>
      </c>
      <c r="DR360" s="3"/>
    </row>
    <row r="361" spans="1:142" ht="15" customHeight="1" x14ac:dyDescent="0.25">
      <c r="A361" s="6" t="s">
        <v>500</v>
      </c>
      <c r="B361" s="2" t="s">
        <v>784</v>
      </c>
      <c r="C361" s="2" t="s">
        <v>1677</v>
      </c>
      <c r="D361" s="25" t="s">
        <v>1605</v>
      </c>
      <c r="E361" s="4" t="s">
        <v>1190</v>
      </c>
      <c r="F361" s="4" t="s">
        <v>813</v>
      </c>
      <c r="G361" s="29"/>
      <c r="H361" s="5"/>
      <c r="I361" s="5"/>
      <c r="J361" s="5"/>
      <c r="M361" s="5"/>
      <c r="N361" s="2" t="s">
        <v>1678</v>
      </c>
      <c r="O361" s="28" t="s">
        <v>2704</v>
      </c>
      <c r="P361" s="3"/>
      <c r="Q361" s="27">
        <v>2</v>
      </c>
      <c r="R361" s="3"/>
      <c r="S361" s="3"/>
      <c r="T361" s="3"/>
      <c r="U361" s="3"/>
      <c r="V361" s="3"/>
      <c r="W361" s="3">
        <v>4</v>
      </c>
      <c r="X361" s="3"/>
      <c r="Z361" s="3"/>
      <c r="AA361" s="3"/>
      <c r="AB361" s="3">
        <v>8</v>
      </c>
      <c r="AC361" s="3">
        <v>8</v>
      </c>
      <c r="AD361" s="3"/>
      <c r="AE361" s="3"/>
      <c r="AF361" s="3"/>
      <c r="AG361" s="3"/>
      <c r="AH361" s="3"/>
      <c r="AI361" s="3"/>
      <c r="AJ361" s="3">
        <v>4</v>
      </c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>
        <v>4</v>
      </c>
      <c r="AY361" s="3"/>
      <c r="AZ361" s="3">
        <v>1</v>
      </c>
      <c r="BA361" s="3">
        <v>1</v>
      </c>
      <c r="BB361" s="3">
        <v>9</v>
      </c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>
        <v>9</v>
      </c>
      <c r="BN361" s="3"/>
      <c r="BO361" s="3"/>
      <c r="BP361" s="3"/>
      <c r="BQ361" s="3">
        <v>4</v>
      </c>
      <c r="BR361" s="3">
        <v>1</v>
      </c>
      <c r="BS361" s="3">
        <v>1</v>
      </c>
      <c r="BT361" s="3"/>
      <c r="BU361" s="3">
        <v>1</v>
      </c>
      <c r="BV361" s="19">
        <v>3</v>
      </c>
      <c r="BW361" s="19">
        <v>3</v>
      </c>
      <c r="BX361" s="19">
        <v>2</v>
      </c>
      <c r="BY361" s="19">
        <v>2</v>
      </c>
      <c r="BZ361" s="19">
        <v>3</v>
      </c>
      <c r="CA361" s="19">
        <v>2</v>
      </c>
      <c r="CB361" s="19">
        <v>3</v>
      </c>
      <c r="CC361" s="19">
        <v>1</v>
      </c>
      <c r="CD361" s="3">
        <v>1</v>
      </c>
      <c r="CE361" s="19">
        <v>4</v>
      </c>
      <c r="CF361" s="3">
        <v>1</v>
      </c>
      <c r="CG361" s="19">
        <v>5</v>
      </c>
      <c r="CH361" s="3">
        <v>1</v>
      </c>
      <c r="CI361" s="3">
        <v>1</v>
      </c>
      <c r="CJ361" s="3">
        <v>2</v>
      </c>
      <c r="CK361" s="3">
        <v>1</v>
      </c>
      <c r="CL361" s="3">
        <v>1</v>
      </c>
      <c r="CM361" s="3"/>
      <c r="CN361" s="3"/>
      <c r="CO361" s="3"/>
      <c r="CP361" s="3"/>
      <c r="CT361" s="3">
        <v>1</v>
      </c>
      <c r="CU361" s="3">
        <v>3</v>
      </c>
      <c r="CV361" s="3">
        <v>1</v>
      </c>
      <c r="CW361" s="3">
        <v>1</v>
      </c>
      <c r="CX361" s="3">
        <v>1</v>
      </c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19">
        <v>1</v>
      </c>
      <c r="DR361" s="3"/>
    </row>
    <row r="362" spans="1:142" ht="15" customHeight="1" x14ac:dyDescent="0.25">
      <c r="A362" s="6" t="s">
        <v>501</v>
      </c>
      <c r="B362" s="2" t="s">
        <v>784</v>
      </c>
      <c r="C362" s="2" t="s">
        <v>1679</v>
      </c>
      <c r="D362" s="25" t="s">
        <v>1605</v>
      </c>
      <c r="E362" s="4" t="s">
        <v>1190</v>
      </c>
      <c r="F362" s="4" t="s">
        <v>854</v>
      </c>
      <c r="G362" s="29"/>
      <c r="H362" s="5"/>
      <c r="I362" s="5"/>
      <c r="J362" s="5"/>
      <c r="M362" s="5"/>
      <c r="N362" s="2" t="s">
        <v>1680</v>
      </c>
      <c r="O362" s="28" t="s">
        <v>2705</v>
      </c>
      <c r="P362" s="3"/>
      <c r="Q362" s="27">
        <v>2</v>
      </c>
      <c r="R362" s="3"/>
      <c r="S362" s="3"/>
      <c r="T362" s="3"/>
      <c r="U362" s="3"/>
      <c r="V362" s="3"/>
      <c r="W362" s="3">
        <v>8</v>
      </c>
      <c r="X362" s="3"/>
      <c r="Z362" s="3"/>
      <c r="AA362" s="3"/>
      <c r="AB362" s="3">
        <v>7</v>
      </c>
      <c r="AC362" s="3">
        <v>8</v>
      </c>
      <c r="AD362" s="3"/>
      <c r="AE362" s="3"/>
      <c r="AF362" s="3"/>
      <c r="AG362" s="3"/>
      <c r="AH362" s="3"/>
      <c r="AI362" s="3"/>
      <c r="AJ362" s="3">
        <v>3</v>
      </c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>
        <v>5</v>
      </c>
      <c r="AY362" s="3"/>
      <c r="AZ362" s="3">
        <v>1</v>
      </c>
      <c r="BA362" s="3">
        <v>1</v>
      </c>
      <c r="BB362" s="3">
        <v>9</v>
      </c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>
        <v>9</v>
      </c>
      <c r="BN362" s="3">
        <v>3</v>
      </c>
      <c r="BO362" s="3"/>
      <c r="BP362" s="3"/>
      <c r="BQ362" s="3">
        <v>1</v>
      </c>
      <c r="BR362" s="3">
        <v>1</v>
      </c>
      <c r="BS362" s="3">
        <v>1</v>
      </c>
      <c r="BT362" s="19">
        <v>1</v>
      </c>
      <c r="BU362" s="3">
        <v>1</v>
      </c>
      <c r="BV362" s="19">
        <v>1</v>
      </c>
      <c r="BW362" s="19">
        <v>1</v>
      </c>
      <c r="BX362" s="19">
        <v>2</v>
      </c>
      <c r="BY362" s="19">
        <v>1</v>
      </c>
      <c r="BZ362" s="19">
        <v>1</v>
      </c>
      <c r="CA362" s="19">
        <v>1</v>
      </c>
      <c r="CB362" s="19">
        <v>1</v>
      </c>
      <c r="CC362" s="19">
        <v>3</v>
      </c>
      <c r="CD362" s="3">
        <v>2</v>
      </c>
      <c r="CE362" s="19">
        <v>1</v>
      </c>
      <c r="CF362" s="3">
        <v>1</v>
      </c>
      <c r="CG362" s="19">
        <v>5</v>
      </c>
      <c r="CH362" s="3">
        <v>3</v>
      </c>
      <c r="CI362" s="3">
        <v>4</v>
      </c>
      <c r="CJ362" s="3">
        <v>1</v>
      </c>
      <c r="CK362" s="3">
        <v>3</v>
      </c>
      <c r="CL362" s="3">
        <v>1</v>
      </c>
      <c r="CM362" s="3"/>
      <c r="CN362" s="3"/>
      <c r="CO362" s="3"/>
      <c r="CP362" s="3"/>
      <c r="CT362" s="3">
        <v>1</v>
      </c>
      <c r="CU362" s="3">
        <v>1</v>
      </c>
      <c r="CV362" s="3">
        <v>1</v>
      </c>
      <c r="CW362" s="3">
        <v>1</v>
      </c>
      <c r="CX362" s="3">
        <v>1</v>
      </c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19">
        <v>1</v>
      </c>
      <c r="DR362" s="3"/>
    </row>
    <row r="363" spans="1:142" ht="15" customHeight="1" x14ac:dyDescent="0.25">
      <c r="A363" s="6" t="s">
        <v>502</v>
      </c>
      <c r="B363" s="2" t="s">
        <v>784</v>
      </c>
      <c r="C363" s="2" t="s">
        <v>1681</v>
      </c>
      <c r="D363" s="25" t="s">
        <v>1605</v>
      </c>
      <c r="E363" s="4" t="s">
        <v>1190</v>
      </c>
      <c r="F363" s="4" t="s">
        <v>813</v>
      </c>
      <c r="G363" s="26">
        <v>1994</v>
      </c>
      <c r="H363" s="5"/>
      <c r="I363" s="5"/>
      <c r="J363" s="5"/>
      <c r="M363" s="5"/>
      <c r="N363" s="2" t="s">
        <v>1682</v>
      </c>
      <c r="O363" s="28" t="s">
        <v>2706</v>
      </c>
      <c r="P363" s="3"/>
      <c r="Q363" s="27">
        <v>2</v>
      </c>
      <c r="R363" s="3"/>
      <c r="S363" s="3"/>
      <c r="T363" s="3"/>
      <c r="U363" s="3"/>
      <c r="V363" s="3"/>
      <c r="W363" s="3">
        <v>4</v>
      </c>
      <c r="X363" s="3"/>
      <c r="Z363" s="3"/>
      <c r="AA363" s="3"/>
      <c r="AB363" s="3">
        <v>8</v>
      </c>
      <c r="AC363" s="3">
        <v>7</v>
      </c>
      <c r="AD363" s="3"/>
      <c r="AE363" s="3"/>
      <c r="AF363" s="3"/>
      <c r="AG363" s="3"/>
      <c r="AH363" s="3"/>
      <c r="AI363" s="3"/>
      <c r="AJ363" s="3">
        <v>3</v>
      </c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>
        <v>1</v>
      </c>
      <c r="AY363" s="3"/>
      <c r="AZ363" s="3">
        <v>1</v>
      </c>
      <c r="BA363" s="3">
        <v>1</v>
      </c>
      <c r="BB363" s="3">
        <v>9</v>
      </c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>
        <v>9</v>
      </c>
      <c r="BN363" s="3"/>
      <c r="BO363" s="3"/>
      <c r="BP363" s="3"/>
      <c r="BQ363" s="3">
        <v>2</v>
      </c>
      <c r="BR363" s="3"/>
      <c r="BS363" s="3"/>
      <c r="BT363" s="19">
        <v>3</v>
      </c>
      <c r="BU363" s="3">
        <v>3</v>
      </c>
      <c r="BV363" s="19">
        <v>3</v>
      </c>
      <c r="BW363" s="19">
        <v>2</v>
      </c>
      <c r="BX363" s="19">
        <v>1</v>
      </c>
      <c r="BY363" s="19">
        <v>1</v>
      </c>
      <c r="BZ363" s="19">
        <v>2</v>
      </c>
      <c r="CA363" s="3"/>
      <c r="CB363" s="19">
        <v>1</v>
      </c>
      <c r="CC363" s="19">
        <v>7</v>
      </c>
      <c r="CD363" s="3">
        <v>2</v>
      </c>
      <c r="CE363" s="19">
        <v>3</v>
      </c>
      <c r="CF363" s="3">
        <v>1</v>
      </c>
      <c r="CG363" s="19">
        <v>3</v>
      </c>
      <c r="CH363" s="3">
        <v>1</v>
      </c>
      <c r="CI363" s="3">
        <v>3</v>
      </c>
      <c r="CJ363" s="3">
        <v>1</v>
      </c>
      <c r="CK363" s="3">
        <v>2</v>
      </c>
      <c r="CL363" s="3">
        <v>4</v>
      </c>
      <c r="CM363" s="3"/>
      <c r="CN363" s="3"/>
      <c r="CO363" s="3"/>
      <c r="CP363" s="3"/>
      <c r="CT363" s="3">
        <v>5</v>
      </c>
      <c r="CU363" s="3">
        <v>3</v>
      </c>
      <c r="CV363" s="3">
        <v>1</v>
      </c>
      <c r="CW363" s="3">
        <v>1</v>
      </c>
      <c r="CX363" s="3">
        <v>1</v>
      </c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19">
        <v>9</v>
      </c>
      <c r="DR363" s="3"/>
    </row>
    <row r="364" spans="1:142" ht="15" customHeight="1" x14ac:dyDescent="0.25">
      <c r="A364" s="6" t="s">
        <v>503</v>
      </c>
      <c r="B364" s="2" t="s">
        <v>784</v>
      </c>
      <c r="C364" s="2" t="s">
        <v>1683</v>
      </c>
      <c r="D364" s="25" t="s">
        <v>1605</v>
      </c>
      <c r="E364" s="4" t="s">
        <v>1190</v>
      </c>
      <c r="F364" s="4" t="s">
        <v>813</v>
      </c>
      <c r="G364" s="26">
        <v>1994</v>
      </c>
      <c r="H364" s="5"/>
      <c r="I364" s="5"/>
      <c r="J364" s="5"/>
      <c r="K364" s="3"/>
      <c r="M364" s="5"/>
      <c r="N364" s="2" t="s">
        <v>1684</v>
      </c>
      <c r="O364" s="28" t="s">
        <v>2707</v>
      </c>
      <c r="P364" s="3"/>
      <c r="Q364" s="27">
        <v>2</v>
      </c>
      <c r="R364" s="3"/>
      <c r="S364" s="3"/>
      <c r="T364" s="3"/>
      <c r="U364" s="3"/>
      <c r="V364" s="3"/>
      <c r="W364" s="3">
        <v>8</v>
      </c>
      <c r="X364" s="3"/>
      <c r="Z364" s="3"/>
      <c r="AA364" s="3"/>
      <c r="AB364" s="3">
        <v>8</v>
      </c>
      <c r="AC364" s="3">
        <v>8</v>
      </c>
      <c r="AD364" s="3"/>
      <c r="AE364" s="3"/>
      <c r="AF364" s="3"/>
      <c r="AG364" s="3"/>
      <c r="AH364" s="3"/>
      <c r="AI364" s="3"/>
      <c r="AJ364" s="3">
        <v>3</v>
      </c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>
        <v>3</v>
      </c>
      <c r="AY364" s="3"/>
      <c r="AZ364" s="3">
        <v>1</v>
      </c>
      <c r="BA364" s="3">
        <v>1</v>
      </c>
      <c r="BB364" s="3">
        <v>9</v>
      </c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>
        <v>8</v>
      </c>
      <c r="BN364" s="3"/>
      <c r="BO364" s="3"/>
      <c r="BP364" s="3"/>
      <c r="BQ364" s="3">
        <v>3</v>
      </c>
      <c r="BR364" s="3">
        <v>1</v>
      </c>
      <c r="BS364" s="3">
        <v>1</v>
      </c>
      <c r="BT364" s="19">
        <v>3</v>
      </c>
      <c r="BU364" s="3">
        <v>1</v>
      </c>
      <c r="BV364" s="19">
        <v>1</v>
      </c>
      <c r="BW364" s="19">
        <v>3</v>
      </c>
      <c r="BX364" s="19">
        <v>1</v>
      </c>
      <c r="BY364" s="19">
        <v>3</v>
      </c>
      <c r="BZ364" s="19">
        <v>2</v>
      </c>
      <c r="CA364" s="19">
        <v>2</v>
      </c>
      <c r="CB364" s="19">
        <v>2</v>
      </c>
      <c r="CC364" s="19">
        <v>3</v>
      </c>
      <c r="CD364" s="3">
        <v>3</v>
      </c>
      <c r="CE364" s="19">
        <v>3</v>
      </c>
      <c r="CF364" s="3">
        <v>3</v>
      </c>
      <c r="CG364" s="19">
        <v>5</v>
      </c>
      <c r="CH364" s="3"/>
      <c r="CI364" s="3"/>
      <c r="CJ364" s="3">
        <v>1</v>
      </c>
      <c r="CK364" s="3">
        <v>1</v>
      </c>
      <c r="CL364" s="3">
        <v>2</v>
      </c>
      <c r="CM364" s="3"/>
      <c r="CN364" s="3"/>
      <c r="CO364" s="3"/>
      <c r="CP364" s="3"/>
      <c r="CT364" s="3">
        <v>2</v>
      </c>
      <c r="CU364" s="3">
        <v>3</v>
      </c>
      <c r="CV364" s="3">
        <v>1</v>
      </c>
      <c r="CW364" s="3">
        <v>1</v>
      </c>
      <c r="CX364" s="3">
        <v>1</v>
      </c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19">
        <v>1</v>
      </c>
      <c r="DR364" s="3"/>
      <c r="DS364" s="3"/>
      <c r="DT364" s="3"/>
    </row>
    <row r="365" spans="1:142" ht="15" customHeight="1" x14ac:dyDescent="0.25">
      <c r="A365" s="6" t="s">
        <v>504</v>
      </c>
      <c r="B365" s="2" t="s">
        <v>784</v>
      </c>
      <c r="C365" s="2" t="s">
        <v>1685</v>
      </c>
      <c r="D365" s="25" t="s">
        <v>1605</v>
      </c>
      <c r="E365" s="4" t="s">
        <v>1190</v>
      </c>
      <c r="F365" s="4" t="s">
        <v>813</v>
      </c>
      <c r="G365" s="26">
        <v>1995</v>
      </c>
      <c r="H365" s="5"/>
      <c r="I365" s="5"/>
      <c r="J365" s="5"/>
      <c r="K365" s="3"/>
      <c r="M365" s="5"/>
      <c r="N365" s="2" t="s">
        <v>1686</v>
      </c>
      <c r="O365" s="28" t="s">
        <v>2708</v>
      </c>
      <c r="P365" s="3"/>
      <c r="Q365" s="27">
        <v>2</v>
      </c>
      <c r="R365" s="3"/>
      <c r="S365" s="3"/>
      <c r="T365" s="3"/>
      <c r="U365" s="3"/>
      <c r="V365" s="3"/>
      <c r="W365" s="3">
        <v>8</v>
      </c>
      <c r="X365" s="3"/>
      <c r="Z365" s="3"/>
      <c r="AA365" s="3"/>
      <c r="AB365" s="3">
        <v>8</v>
      </c>
      <c r="AC365" s="3">
        <v>8</v>
      </c>
      <c r="AD365" s="3"/>
      <c r="AE365" s="3"/>
      <c r="AF365" s="3"/>
      <c r="AG365" s="3"/>
      <c r="AH365" s="3"/>
      <c r="AI365" s="3"/>
      <c r="AJ365" s="3">
        <v>2</v>
      </c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>
        <v>3</v>
      </c>
      <c r="AY365" s="3"/>
      <c r="AZ365" s="3">
        <v>1</v>
      </c>
      <c r="BA365" s="3">
        <v>1</v>
      </c>
      <c r="BB365" s="3">
        <v>9</v>
      </c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>
        <v>9</v>
      </c>
      <c r="BN365" s="3"/>
      <c r="BO365" s="3"/>
      <c r="BP365" s="3"/>
      <c r="BQ365" s="3">
        <v>3</v>
      </c>
      <c r="BR365" s="3">
        <v>1</v>
      </c>
      <c r="BS365" s="3">
        <v>3</v>
      </c>
      <c r="BT365" s="19">
        <v>1</v>
      </c>
      <c r="BU365" s="3">
        <v>1</v>
      </c>
      <c r="BV365" s="19">
        <v>1</v>
      </c>
      <c r="BW365" s="19">
        <v>2</v>
      </c>
      <c r="BX365" s="19">
        <v>1</v>
      </c>
      <c r="BY365" s="3"/>
      <c r="BZ365" s="19">
        <v>1</v>
      </c>
      <c r="CA365" s="19">
        <v>1</v>
      </c>
      <c r="CB365" s="19">
        <v>3</v>
      </c>
      <c r="CC365" s="19">
        <v>1</v>
      </c>
      <c r="CD365" s="3">
        <v>1</v>
      </c>
      <c r="CE365" s="19">
        <v>2</v>
      </c>
      <c r="CF365" s="3">
        <v>1</v>
      </c>
      <c r="CG365" s="3"/>
      <c r="CH365" s="3">
        <v>1</v>
      </c>
      <c r="CI365" s="3">
        <v>1</v>
      </c>
      <c r="CJ365" s="3">
        <v>1</v>
      </c>
      <c r="CK365" s="3">
        <v>1</v>
      </c>
      <c r="CL365" s="3">
        <v>1</v>
      </c>
      <c r="CM365" s="3"/>
      <c r="CN365" s="3"/>
      <c r="CO365" s="3"/>
      <c r="CP365" s="3"/>
      <c r="CT365" s="3">
        <v>1</v>
      </c>
      <c r="CU365" s="3">
        <v>2</v>
      </c>
      <c r="CV365" s="3">
        <v>1</v>
      </c>
      <c r="CW365" s="3">
        <v>1</v>
      </c>
      <c r="CX365" s="3">
        <v>1</v>
      </c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19">
        <v>1</v>
      </c>
      <c r="DR365" s="3"/>
      <c r="DS365" s="3"/>
      <c r="DT365" s="3"/>
    </row>
    <row r="366" spans="1:142" ht="15" customHeight="1" x14ac:dyDescent="0.25">
      <c r="A366" s="6" t="s">
        <v>505</v>
      </c>
      <c r="B366" s="2" t="s">
        <v>784</v>
      </c>
      <c r="C366" s="2" t="s">
        <v>1687</v>
      </c>
      <c r="D366" s="25" t="s">
        <v>1605</v>
      </c>
      <c r="E366" s="4" t="s">
        <v>1190</v>
      </c>
      <c r="F366" s="4" t="s">
        <v>813</v>
      </c>
      <c r="G366" s="26">
        <v>1995</v>
      </c>
      <c r="H366" s="5"/>
      <c r="I366" s="5"/>
      <c r="J366" s="5"/>
      <c r="K366" s="3"/>
      <c r="M366" s="5"/>
      <c r="N366" s="2" t="s">
        <v>1688</v>
      </c>
      <c r="O366" s="28" t="s">
        <v>2709</v>
      </c>
      <c r="P366" s="3"/>
      <c r="Q366" s="27">
        <v>2</v>
      </c>
      <c r="R366" s="3"/>
      <c r="S366" s="3"/>
      <c r="T366" s="3"/>
      <c r="U366" s="3"/>
      <c r="V366" s="3"/>
      <c r="W366" s="3">
        <v>8</v>
      </c>
      <c r="X366" s="3"/>
      <c r="Z366" s="3"/>
      <c r="AA366" s="3"/>
      <c r="AB366" s="3">
        <v>8</v>
      </c>
      <c r="AC366" s="3">
        <v>8</v>
      </c>
      <c r="AD366" s="3"/>
      <c r="AE366" s="3"/>
      <c r="AF366" s="3"/>
      <c r="AG366" s="3"/>
      <c r="AH366" s="3"/>
      <c r="AI366" s="3"/>
      <c r="AJ366" s="3">
        <v>6</v>
      </c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>
        <v>3</v>
      </c>
      <c r="AY366" s="3"/>
      <c r="AZ366" s="3">
        <v>1</v>
      </c>
      <c r="BA366" s="3">
        <v>1</v>
      </c>
      <c r="BB366" s="3">
        <v>9</v>
      </c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>
        <v>9</v>
      </c>
      <c r="BN366" s="3"/>
      <c r="BO366" s="3"/>
      <c r="BP366" s="3"/>
      <c r="BQ366" s="3">
        <v>2</v>
      </c>
      <c r="BR366" s="3">
        <v>1</v>
      </c>
      <c r="BS366" s="3">
        <v>1</v>
      </c>
      <c r="BT366" s="19">
        <v>1</v>
      </c>
      <c r="BU366" s="3">
        <v>1</v>
      </c>
      <c r="BV366" s="19">
        <v>1</v>
      </c>
      <c r="BW366" s="19">
        <v>2</v>
      </c>
      <c r="BX366" s="19">
        <v>1</v>
      </c>
      <c r="BY366" s="3"/>
      <c r="BZ366" s="19">
        <v>2</v>
      </c>
      <c r="CA366" s="19">
        <v>2</v>
      </c>
      <c r="CB366" s="3"/>
      <c r="CC366" s="19">
        <v>1</v>
      </c>
      <c r="CD366" s="3">
        <v>3</v>
      </c>
      <c r="CE366" s="3"/>
      <c r="CF366" s="3">
        <v>1</v>
      </c>
      <c r="CG366" s="3"/>
      <c r="CH366" s="3">
        <v>1</v>
      </c>
      <c r="CI366" s="3">
        <v>1</v>
      </c>
      <c r="CJ366" s="3">
        <v>1</v>
      </c>
      <c r="CK366" s="3"/>
      <c r="CL366" s="3">
        <v>3</v>
      </c>
      <c r="CM366" s="3"/>
      <c r="CN366" s="3"/>
      <c r="CO366" s="3"/>
      <c r="CP366" s="3"/>
      <c r="CT366" s="3">
        <v>1</v>
      </c>
      <c r="CU366" s="3">
        <v>3</v>
      </c>
      <c r="CV366" s="3">
        <v>1</v>
      </c>
      <c r="CW366" s="3">
        <v>1</v>
      </c>
      <c r="CX366" s="3">
        <v>1</v>
      </c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19">
        <v>1</v>
      </c>
      <c r="DR366" s="3"/>
      <c r="DS366" s="3"/>
      <c r="DT366" s="3"/>
    </row>
    <row r="367" spans="1:142" ht="15" customHeight="1" x14ac:dyDescent="0.25">
      <c r="A367" s="6" t="s">
        <v>506</v>
      </c>
      <c r="B367" s="2" t="s">
        <v>784</v>
      </c>
      <c r="C367" s="2" t="s">
        <v>1689</v>
      </c>
      <c r="D367" s="25" t="s">
        <v>1605</v>
      </c>
      <c r="E367" s="4" t="s">
        <v>1190</v>
      </c>
      <c r="F367" s="4" t="s">
        <v>813</v>
      </c>
      <c r="G367" s="26">
        <v>1994</v>
      </c>
      <c r="H367" s="5"/>
      <c r="I367" s="5"/>
      <c r="J367" s="5"/>
      <c r="K367" s="3"/>
      <c r="M367" s="5"/>
      <c r="N367" s="2" t="s">
        <v>1690</v>
      </c>
      <c r="O367" s="28" t="s">
        <v>2710</v>
      </c>
      <c r="P367" s="3"/>
      <c r="Q367" s="27">
        <v>2</v>
      </c>
      <c r="R367" s="3"/>
      <c r="S367" s="3"/>
      <c r="T367" s="3"/>
      <c r="U367" s="3"/>
      <c r="V367" s="3"/>
      <c r="W367" s="3">
        <v>4</v>
      </c>
      <c r="X367" s="3"/>
      <c r="Z367" s="3"/>
      <c r="AA367" s="3"/>
      <c r="AB367" s="3">
        <v>8</v>
      </c>
      <c r="AC367" s="3">
        <v>8</v>
      </c>
      <c r="AD367" s="3"/>
      <c r="AE367" s="3"/>
      <c r="AF367" s="3">
        <v>1</v>
      </c>
      <c r="AG367" s="3"/>
      <c r="AH367" s="3"/>
      <c r="AI367" s="3"/>
      <c r="AJ367" s="3">
        <v>1</v>
      </c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>
        <v>3</v>
      </c>
      <c r="AY367" s="3"/>
      <c r="AZ367" s="3">
        <v>1</v>
      </c>
      <c r="BA367" s="3">
        <v>1</v>
      </c>
      <c r="BB367" s="3">
        <v>9</v>
      </c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>
        <v>9</v>
      </c>
      <c r="BN367" s="3"/>
      <c r="BO367" s="3"/>
      <c r="BP367" s="3"/>
      <c r="BQ367" s="3">
        <v>3</v>
      </c>
      <c r="BR367" s="3">
        <v>1</v>
      </c>
      <c r="BS367" s="3">
        <v>1</v>
      </c>
      <c r="BT367" s="3"/>
      <c r="BU367" s="3">
        <v>1</v>
      </c>
      <c r="BV367" s="19">
        <v>5</v>
      </c>
      <c r="BW367" s="19">
        <v>3</v>
      </c>
      <c r="BX367" s="19">
        <v>2</v>
      </c>
      <c r="BY367" s="19">
        <v>3</v>
      </c>
      <c r="BZ367" s="19">
        <v>6</v>
      </c>
      <c r="CA367" s="19">
        <v>3</v>
      </c>
      <c r="CB367" s="19">
        <v>3</v>
      </c>
      <c r="CC367" s="3"/>
      <c r="CD367" s="3">
        <v>3</v>
      </c>
      <c r="CE367" s="3"/>
      <c r="CF367" s="3">
        <v>3</v>
      </c>
      <c r="CG367" s="19">
        <v>7</v>
      </c>
      <c r="CH367" s="3"/>
      <c r="CI367" s="3">
        <v>4</v>
      </c>
      <c r="CJ367" s="3">
        <v>3</v>
      </c>
      <c r="CK367" s="3">
        <v>3</v>
      </c>
      <c r="CL367" s="3">
        <v>3</v>
      </c>
      <c r="CM367" s="3"/>
      <c r="CN367" s="3"/>
      <c r="CO367" s="3"/>
      <c r="CP367" s="3"/>
      <c r="CT367" s="3">
        <v>3</v>
      </c>
      <c r="CU367" s="3">
        <v>3</v>
      </c>
      <c r="CV367" s="3">
        <v>1</v>
      </c>
      <c r="CW367" s="3">
        <v>1</v>
      </c>
      <c r="CX367" s="3">
        <v>1</v>
      </c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R367" s="3"/>
      <c r="DS367" s="3"/>
      <c r="DT367" s="3"/>
    </row>
    <row r="368" spans="1:142" ht="15" customHeight="1" x14ac:dyDescent="0.25">
      <c r="A368" s="6" t="s">
        <v>507</v>
      </c>
      <c r="B368" s="2" t="s">
        <v>784</v>
      </c>
      <c r="C368" s="2" t="s">
        <v>1691</v>
      </c>
      <c r="D368" s="25" t="s">
        <v>1692</v>
      </c>
      <c r="E368" s="4" t="s">
        <v>1190</v>
      </c>
      <c r="F368" s="4" t="s">
        <v>1508</v>
      </c>
      <c r="G368" s="26">
        <v>1997</v>
      </c>
      <c r="H368" s="5"/>
      <c r="I368" s="5"/>
      <c r="J368" s="5"/>
      <c r="K368" s="3"/>
      <c r="M368" s="5"/>
      <c r="N368" s="2" t="s">
        <v>1693</v>
      </c>
      <c r="O368" s="28" t="s">
        <v>2711</v>
      </c>
      <c r="P368" s="3"/>
      <c r="Q368" s="27"/>
      <c r="R368" s="3"/>
      <c r="S368" s="3">
        <v>2</v>
      </c>
      <c r="T368" s="3"/>
      <c r="U368" s="3">
        <v>9</v>
      </c>
      <c r="V368" s="3"/>
      <c r="W368" s="3">
        <v>8</v>
      </c>
      <c r="X368" s="3"/>
      <c r="Z368" s="3"/>
      <c r="AA368" s="3"/>
      <c r="AB368" s="3">
        <v>1</v>
      </c>
      <c r="AC368" s="3">
        <v>8</v>
      </c>
      <c r="AD368" s="3"/>
      <c r="AE368" s="3"/>
      <c r="AF368" s="3">
        <v>1</v>
      </c>
      <c r="AG368" s="3"/>
      <c r="AH368" s="3"/>
      <c r="AI368" s="3"/>
      <c r="AJ368" s="3">
        <v>2</v>
      </c>
      <c r="AK368" s="3"/>
      <c r="AL368" s="3">
        <v>5</v>
      </c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>
        <v>3</v>
      </c>
      <c r="AY368" s="3"/>
      <c r="AZ368" s="3">
        <v>2</v>
      </c>
      <c r="BA368" s="3"/>
      <c r="BB368" s="3">
        <v>9</v>
      </c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>
        <v>9</v>
      </c>
      <c r="BN368" s="3"/>
      <c r="BO368" s="3"/>
      <c r="BP368" s="3"/>
      <c r="BQ368" s="3">
        <v>5</v>
      </c>
      <c r="BR368" s="3">
        <v>6</v>
      </c>
      <c r="BS368" s="3">
        <v>8</v>
      </c>
      <c r="BT368" s="19">
        <v>8</v>
      </c>
      <c r="BU368" s="3"/>
      <c r="BV368" s="19">
        <v>5</v>
      </c>
      <c r="BW368" s="19">
        <v>7</v>
      </c>
      <c r="BX368" s="19">
        <v>9</v>
      </c>
      <c r="BY368" s="19">
        <v>7</v>
      </c>
      <c r="BZ368" s="19">
        <v>7</v>
      </c>
      <c r="CA368" s="19">
        <v>9</v>
      </c>
      <c r="CB368" s="19">
        <v>7</v>
      </c>
      <c r="CC368" s="19">
        <v>8</v>
      </c>
      <c r="CD368" s="3">
        <v>9</v>
      </c>
      <c r="CE368" s="19">
        <v>7</v>
      </c>
      <c r="CF368" s="3">
        <v>5</v>
      </c>
      <c r="CG368" s="19">
        <v>7</v>
      </c>
      <c r="CH368" s="3">
        <v>9</v>
      </c>
      <c r="CI368" s="3">
        <v>9</v>
      </c>
      <c r="CJ368" s="3">
        <v>9</v>
      </c>
      <c r="CK368" s="3">
        <v>9</v>
      </c>
      <c r="CL368" s="3">
        <v>7</v>
      </c>
      <c r="CM368" s="3"/>
      <c r="CN368" s="3"/>
      <c r="CO368" s="3"/>
      <c r="CP368" s="3"/>
      <c r="CT368" s="3">
        <v>8</v>
      </c>
      <c r="CU368" s="3">
        <v>7</v>
      </c>
      <c r="CV368" s="3"/>
      <c r="CW368" s="3">
        <v>8</v>
      </c>
      <c r="CX368" s="3">
        <v>9</v>
      </c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R368" s="3"/>
      <c r="DS368" s="3"/>
      <c r="DT368" s="3"/>
    </row>
    <row r="369" spans="1:124" ht="15" customHeight="1" x14ac:dyDescent="0.25">
      <c r="A369" s="6" t="s">
        <v>508</v>
      </c>
      <c r="B369" s="2" t="s">
        <v>784</v>
      </c>
      <c r="C369" s="2" t="s">
        <v>1694</v>
      </c>
      <c r="D369" s="25" t="s">
        <v>1605</v>
      </c>
      <c r="E369" s="4" t="s">
        <v>1190</v>
      </c>
      <c r="F369" s="4" t="s">
        <v>1508</v>
      </c>
      <c r="G369" s="26">
        <v>1997</v>
      </c>
      <c r="H369" s="5"/>
      <c r="I369" s="5"/>
      <c r="J369" s="5"/>
      <c r="K369" s="3"/>
      <c r="M369" s="5"/>
      <c r="N369" s="2" t="s">
        <v>1695</v>
      </c>
      <c r="O369" s="28" t="s">
        <v>2712</v>
      </c>
      <c r="P369" s="3"/>
      <c r="Q369" s="27"/>
      <c r="R369" s="3"/>
      <c r="S369" s="3"/>
      <c r="T369" s="3"/>
      <c r="U369" s="3"/>
      <c r="V369" s="3"/>
      <c r="W369" s="3">
        <v>4</v>
      </c>
      <c r="X369" s="3"/>
      <c r="Z369" s="3"/>
      <c r="AA369" s="3"/>
      <c r="AB369" s="3">
        <v>8</v>
      </c>
      <c r="AC369" s="3">
        <v>7</v>
      </c>
      <c r="AD369" s="3"/>
      <c r="AE369" s="3"/>
      <c r="AF369" s="3">
        <v>1</v>
      </c>
      <c r="AG369" s="3"/>
      <c r="AH369" s="3"/>
      <c r="AI369" s="3"/>
      <c r="AJ369" s="3">
        <v>3</v>
      </c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>
        <v>4</v>
      </c>
      <c r="AY369" s="3"/>
      <c r="AZ369" s="3">
        <v>1</v>
      </c>
      <c r="BA369" s="3"/>
      <c r="BB369" s="3">
        <v>9</v>
      </c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>
        <v>9</v>
      </c>
      <c r="BN369" s="3"/>
      <c r="BO369" s="3"/>
      <c r="BP369" s="3"/>
      <c r="BQ369" s="3">
        <v>2</v>
      </c>
      <c r="BR369" s="3"/>
      <c r="BS369" s="3">
        <v>1</v>
      </c>
      <c r="BT369" s="19">
        <v>1</v>
      </c>
      <c r="BU369" s="3">
        <v>1</v>
      </c>
      <c r="BV369" s="19">
        <v>1</v>
      </c>
      <c r="BW369" s="19">
        <v>1</v>
      </c>
      <c r="BX369" s="19">
        <v>1</v>
      </c>
      <c r="BY369" s="3"/>
      <c r="BZ369" s="19">
        <v>1</v>
      </c>
      <c r="CA369" s="3"/>
      <c r="CB369" s="19">
        <v>1</v>
      </c>
      <c r="CC369" s="19">
        <v>1</v>
      </c>
      <c r="CD369" s="3">
        <v>1</v>
      </c>
      <c r="CE369" s="19">
        <v>1</v>
      </c>
      <c r="CF369" s="3">
        <v>1</v>
      </c>
      <c r="CG369" s="3"/>
      <c r="CH369" s="3">
        <v>1</v>
      </c>
      <c r="CI369" s="3">
        <v>1</v>
      </c>
      <c r="CJ369" s="3">
        <v>1</v>
      </c>
      <c r="CK369" s="3"/>
      <c r="CL369" s="3">
        <v>1</v>
      </c>
      <c r="CM369" s="3"/>
      <c r="CN369" s="3"/>
      <c r="CO369" s="3"/>
      <c r="CP369" s="3"/>
      <c r="CT369" s="3">
        <v>1</v>
      </c>
      <c r="CU369" s="3">
        <v>1</v>
      </c>
      <c r="CV369" s="3">
        <v>1</v>
      </c>
      <c r="CW369" s="3">
        <v>1</v>
      </c>
      <c r="CX369" s="3">
        <v>1</v>
      </c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19">
        <v>1</v>
      </c>
      <c r="DR369" s="3"/>
      <c r="DS369" s="3"/>
      <c r="DT369" s="3"/>
    </row>
    <row r="370" spans="1:124" ht="15" customHeight="1" x14ac:dyDescent="0.25">
      <c r="A370" s="6" t="s">
        <v>509</v>
      </c>
      <c r="B370" s="2" t="s">
        <v>784</v>
      </c>
      <c r="C370" s="2" t="s">
        <v>1696</v>
      </c>
      <c r="D370" s="25" t="s">
        <v>1605</v>
      </c>
      <c r="E370" s="4" t="s">
        <v>1190</v>
      </c>
      <c r="F370" s="4" t="s">
        <v>813</v>
      </c>
      <c r="G370" s="26">
        <v>1996</v>
      </c>
      <c r="H370" s="5"/>
      <c r="I370" s="5"/>
      <c r="J370" s="5"/>
      <c r="K370" s="3"/>
      <c r="M370" s="5"/>
      <c r="N370" s="2" t="s">
        <v>1697</v>
      </c>
      <c r="O370" s="28" t="s">
        <v>2713</v>
      </c>
      <c r="P370" s="3"/>
      <c r="Q370" s="27"/>
      <c r="R370" s="3"/>
      <c r="S370" s="3"/>
      <c r="T370" s="3"/>
      <c r="U370" s="3"/>
      <c r="V370" s="3"/>
      <c r="W370" s="3">
        <v>4</v>
      </c>
      <c r="X370" s="3"/>
      <c r="Z370" s="3"/>
      <c r="AA370" s="3"/>
      <c r="AB370" s="3">
        <v>8</v>
      </c>
      <c r="AC370" s="3">
        <v>8</v>
      </c>
      <c r="AD370" s="3"/>
      <c r="AE370" s="3"/>
      <c r="AF370" s="3">
        <v>1</v>
      </c>
      <c r="AG370" s="3"/>
      <c r="AH370" s="3"/>
      <c r="AI370" s="3"/>
      <c r="AJ370" s="3">
        <v>2</v>
      </c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>
        <v>3</v>
      </c>
      <c r="AY370" s="3"/>
      <c r="AZ370" s="3">
        <v>1</v>
      </c>
      <c r="BA370" s="3"/>
      <c r="BB370" s="3">
        <v>9</v>
      </c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R370" s="3"/>
      <c r="DS370" s="3"/>
      <c r="DT370" s="3"/>
    </row>
    <row r="371" spans="1:124" ht="15" customHeight="1" x14ac:dyDescent="0.25">
      <c r="A371" s="6" t="s">
        <v>510</v>
      </c>
      <c r="B371" s="2" t="s">
        <v>784</v>
      </c>
      <c r="C371" s="2" t="s">
        <v>1698</v>
      </c>
      <c r="D371" s="25" t="s">
        <v>1605</v>
      </c>
      <c r="E371" s="4" t="s">
        <v>1190</v>
      </c>
      <c r="F371" s="4" t="s">
        <v>813</v>
      </c>
      <c r="G371" s="26">
        <v>1996</v>
      </c>
      <c r="H371" s="5"/>
      <c r="I371" s="5"/>
      <c r="J371" s="5"/>
      <c r="K371" s="3"/>
      <c r="M371" s="5"/>
      <c r="N371" s="2" t="s">
        <v>1699</v>
      </c>
      <c r="O371" s="28" t="s">
        <v>2714</v>
      </c>
      <c r="P371" s="3"/>
      <c r="Q371" s="27"/>
      <c r="R371" s="3"/>
      <c r="S371" s="3"/>
      <c r="T371" s="3"/>
      <c r="U371" s="3"/>
      <c r="V371" s="3"/>
      <c r="W371" s="3">
        <v>4</v>
      </c>
      <c r="X371" s="3"/>
      <c r="Z371" s="3"/>
      <c r="AA371" s="3"/>
      <c r="AB371" s="3">
        <v>8</v>
      </c>
      <c r="AC371" s="3">
        <v>8</v>
      </c>
      <c r="AD371" s="3"/>
      <c r="AE371" s="3"/>
      <c r="AF371" s="3">
        <v>1</v>
      </c>
      <c r="AG371" s="3"/>
      <c r="AH371" s="3"/>
      <c r="AI371" s="3"/>
      <c r="AJ371" s="3">
        <v>2</v>
      </c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>
        <v>2</v>
      </c>
      <c r="AY371" s="3"/>
      <c r="AZ371" s="3">
        <v>1</v>
      </c>
      <c r="BA371" s="3"/>
      <c r="BB371" s="3">
        <v>9</v>
      </c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>
        <v>9</v>
      </c>
      <c r="BN371" s="3"/>
      <c r="BO371" s="3"/>
      <c r="BP371" s="3"/>
      <c r="BQ371" s="3"/>
      <c r="BR371" s="3"/>
      <c r="BS371" s="3">
        <v>1</v>
      </c>
      <c r="BT371" s="19">
        <v>1</v>
      </c>
      <c r="BU371" s="3">
        <v>1</v>
      </c>
      <c r="BV371" s="19">
        <v>1</v>
      </c>
      <c r="BW371" s="3"/>
      <c r="BX371" s="19">
        <v>1</v>
      </c>
      <c r="BY371" s="3"/>
      <c r="BZ371" s="19">
        <v>1</v>
      </c>
      <c r="CA371" s="19">
        <v>1</v>
      </c>
      <c r="CB371" s="19">
        <v>3</v>
      </c>
      <c r="CC371" s="19">
        <v>1</v>
      </c>
      <c r="CD371" s="3">
        <v>1</v>
      </c>
      <c r="CE371" s="19">
        <v>1</v>
      </c>
      <c r="CF371" s="3">
        <v>1</v>
      </c>
      <c r="CG371" s="3"/>
      <c r="CH371" s="3">
        <v>1</v>
      </c>
      <c r="CI371" s="3">
        <v>1</v>
      </c>
      <c r="CJ371" s="3">
        <v>1</v>
      </c>
      <c r="CK371" s="3">
        <v>1</v>
      </c>
      <c r="CL371" s="3">
        <v>1</v>
      </c>
      <c r="CM371" s="3"/>
      <c r="CN371" s="3"/>
      <c r="CO371" s="3"/>
      <c r="CP371" s="3"/>
      <c r="CT371" s="3">
        <v>1</v>
      </c>
      <c r="CU371" s="3">
        <v>3</v>
      </c>
      <c r="CV371" s="3">
        <v>1</v>
      </c>
      <c r="CW371" s="3">
        <v>1</v>
      </c>
      <c r="CX371" s="3">
        <v>1</v>
      </c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19">
        <v>1</v>
      </c>
      <c r="DR371" s="3"/>
      <c r="DS371" s="3"/>
      <c r="DT371" s="3"/>
    </row>
    <row r="372" spans="1:124" ht="15" customHeight="1" x14ac:dyDescent="0.25">
      <c r="A372" s="6" t="s">
        <v>511</v>
      </c>
      <c r="B372" s="2" t="s">
        <v>784</v>
      </c>
      <c r="C372" s="2" t="s">
        <v>1700</v>
      </c>
      <c r="D372" s="25" t="s">
        <v>1605</v>
      </c>
      <c r="E372" s="4" t="s">
        <v>1190</v>
      </c>
      <c r="F372" s="4" t="s">
        <v>813</v>
      </c>
      <c r="G372" s="26">
        <v>1997</v>
      </c>
      <c r="H372" s="5"/>
      <c r="I372" s="5"/>
      <c r="J372" s="5"/>
      <c r="K372" s="3"/>
      <c r="M372" s="5"/>
      <c r="N372" s="2" t="s">
        <v>1701</v>
      </c>
      <c r="O372" s="28" t="s">
        <v>2715</v>
      </c>
      <c r="P372" s="3"/>
      <c r="Q372" s="27"/>
      <c r="R372" s="3"/>
      <c r="S372" s="3"/>
      <c r="T372" s="3"/>
      <c r="U372" s="3"/>
      <c r="V372" s="3"/>
      <c r="W372" s="3">
        <v>8</v>
      </c>
      <c r="X372" s="3"/>
      <c r="Z372" s="3"/>
      <c r="AA372" s="3"/>
      <c r="AB372" s="3">
        <v>1</v>
      </c>
      <c r="AC372" s="3">
        <v>9</v>
      </c>
      <c r="AD372" s="3"/>
      <c r="AE372" s="3"/>
      <c r="AF372" s="3">
        <v>1</v>
      </c>
      <c r="AG372" s="3"/>
      <c r="AH372" s="3"/>
      <c r="AI372" s="3"/>
      <c r="AJ372" s="3">
        <v>2</v>
      </c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>
        <v>3</v>
      </c>
      <c r="AY372" s="3"/>
      <c r="AZ372" s="3">
        <v>1</v>
      </c>
      <c r="BA372" s="3"/>
      <c r="BB372" s="3">
        <v>9</v>
      </c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R372" s="3"/>
      <c r="DS372" s="3"/>
      <c r="DT372" s="3"/>
    </row>
    <row r="373" spans="1:124" ht="15" customHeight="1" x14ac:dyDescent="0.25">
      <c r="A373" s="6" t="s">
        <v>512</v>
      </c>
      <c r="B373" s="2" t="s">
        <v>784</v>
      </c>
      <c r="C373" s="2" t="s">
        <v>1702</v>
      </c>
      <c r="D373" s="25" t="s">
        <v>1605</v>
      </c>
      <c r="E373" s="4" t="s">
        <v>1190</v>
      </c>
      <c r="F373" s="4" t="s">
        <v>1160</v>
      </c>
      <c r="G373" s="26">
        <v>1998</v>
      </c>
      <c r="H373" s="5"/>
      <c r="I373" s="5"/>
      <c r="J373" s="5"/>
      <c r="K373" s="3"/>
      <c r="M373" s="5"/>
      <c r="N373" s="2" t="s">
        <v>1703</v>
      </c>
      <c r="O373" s="28" t="s">
        <v>2716</v>
      </c>
      <c r="P373" s="3"/>
      <c r="Q373" s="27"/>
      <c r="R373" s="3"/>
      <c r="S373" s="3"/>
      <c r="T373" s="3"/>
      <c r="U373" s="3"/>
      <c r="V373" s="3"/>
      <c r="W373" s="3">
        <v>8</v>
      </c>
      <c r="X373" s="3"/>
      <c r="Z373" s="3"/>
      <c r="AA373" s="3"/>
      <c r="AB373" s="3">
        <v>9</v>
      </c>
      <c r="AC373" s="3">
        <v>9</v>
      </c>
      <c r="AD373" s="3"/>
      <c r="AE373" s="3"/>
      <c r="AF373" s="3">
        <v>1</v>
      </c>
      <c r="AG373" s="3"/>
      <c r="AH373" s="3"/>
      <c r="AI373" s="3"/>
      <c r="AJ373" s="3">
        <v>2</v>
      </c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>
        <v>2</v>
      </c>
      <c r="AY373" s="3"/>
      <c r="AZ373" s="3">
        <v>1</v>
      </c>
      <c r="BA373" s="3">
        <v>1</v>
      </c>
      <c r="BB373" s="3">
        <v>9</v>
      </c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R373" s="3"/>
      <c r="DS373" s="3"/>
      <c r="DT373" s="3"/>
    </row>
    <row r="374" spans="1:124" ht="15" customHeight="1" x14ac:dyDescent="0.25">
      <c r="A374" s="6" t="s">
        <v>513</v>
      </c>
      <c r="B374" s="2" t="s">
        <v>1704</v>
      </c>
      <c r="C374" s="2" t="s">
        <v>137</v>
      </c>
      <c r="D374" s="25" t="s">
        <v>1605</v>
      </c>
      <c r="E374" s="4"/>
      <c r="F374" s="5" t="s">
        <v>793</v>
      </c>
      <c r="G374" s="29"/>
      <c r="H374" s="5" t="s">
        <v>137</v>
      </c>
      <c r="I374" s="5"/>
      <c r="J374" s="5"/>
      <c r="M374" s="5"/>
      <c r="O374" s="28"/>
      <c r="P374" s="3"/>
      <c r="Q374" s="27"/>
      <c r="R374" s="3"/>
      <c r="S374" s="3"/>
      <c r="T374" s="3"/>
      <c r="U374" s="3"/>
      <c r="V374" s="3"/>
      <c r="W374" s="3"/>
      <c r="X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R374" s="3"/>
    </row>
    <row r="375" spans="1:124" ht="15" customHeight="1" x14ac:dyDescent="0.25">
      <c r="A375" s="6" t="s">
        <v>514</v>
      </c>
      <c r="B375" s="2" t="s">
        <v>784</v>
      </c>
      <c r="C375" s="2" t="s">
        <v>1705</v>
      </c>
      <c r="D375" s="25" t="s">
        <v>1706</v>
      </c>
      <c r="E375" s="4" t="s">
        <v>1190</v>
      </c>
      <c r="F375" s="5"/>
      <c r="G375" s="29"/>
      <c r="H375" s="5"/>
      <c r="I375" s="5"/>
      <c r="J375" s="5"/>
      <c r="M375" s="5"/>
      <c r="N375" s="2" t="s">
        <v>1707</v>
      </c>
      <c r="O375" s="28" t="s">
        <v>2717</v>
      </c>
      <c r="P375" s="3"/>
      <c r="Q375" s="27">
        <v>2</v>
      </c>
      <c r="R375" s="3"/>
      <c r="S375" s="3">
        <v>2</v>
      </c>
      <c r="T375" s="3"/>
      <c r="U375" s="3">
        <v>1</v>
      </c>
      <c r="V375" s="3"/>
      <c r="W375" s="3">
        <v>7</v>
      </c>
      <c r="X375" s="3"/>
      <c r="Z375" s="3"/>
      <c r="AA375" s="3"/>
      <c r="AB375" s="3">
        <v>2</v>
      </c>
      <c r="AC375" s="3">
        <v>4</v>
      </c>
      <c r="AD375" s="3"/>
      <c r="AE375" s="3"/>
      <c r="AF375" s="3">
        <v>5</v>
      </c>
      <c r="AG375" s="3">
        <v>1</v>
      </c>
      <c r="AH375" s="3">
        <v>3</v>
      </c>
      <c r="AI375" s="3">
        <v>9</v>
      </c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>
        <v>9</v>
      </c>
      <c r="AX375" s="3"/>
      <c r="AY375" s="3">
        <v>9</v>
      </c>
      <c r="AZ375" s="3"/>
      <c r="BA375" s="3"/>
      <c r="BB375" s="3">
        <v>1</v>
      </c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>
        <v>4</v>
      </c>
      <c r="BO375" s="3"/>
      <c r="BP375" s="3">
        <v>1</v>
      </c>
      <c r="BQ375" s="3">
        <v>9</v>
      </c>
      <c r="BR375" s="3"/>
      <c r="BS375" s="3">
        <v>9</v>
      </c>
      <c r="BT375" s="3"/>
      <c r="BU375" s="3"/>
      <c r="BV375" s="3"/>
      <c r="BW375" s="3"/>
      <c r="BX375" s="3"/>
      <c r="BY375" s="3"/>
      <c r="BZ375" s="3">
        <v>7</v>
      </c>
      <c r="CA375" s="3"/>
      <c r="CB375" s="3"/>
      <c r="CC375" s="3">
        <v>5</v>
      </c>
      <c r="CD375" s="3">
        <v>1</v>
      </c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T375" s="3"/>
      <c r="CU375" s="3"/>
      <c r="CV375" s="3"/>
      <c r="CW375" s="3"/>
      <c r="CX375" s="3"/>
      <c r="CY375" s="3">
        <v>1</v>
      </c>
      <c r="CZ375" s="3">
        <v>1</v>
      </c>
      <c r="DA375" s="3">
        <v>1</v>
      </c>
      <c r="DB375" s="3">
        <v>1</v>
      </c>
      <c r="DC375" s="3">
        <v>1</v>
      </c>
      <c r="DD375" s="3">
        <v>1</v>
      </c>
      <c r="DE375" s="3">
        <v>1</v>
      </c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R375" s="3"/>
    </row>
    <row r="376" spans="1:124" ht="15" customHeight="1" x14ac:dyDescent="0.25">
      <c r="A376" s="6" t="s">
        <v>515</v>
      </c>
      <c r="B376" s="2" t="s">
        <v>784</v>
      </c>
      <c r="C376" s="2" t="s">
        <v>1708</v>
      </c>
      <c r="D376" s="25" t="s">
        <v>1706</v>
      </c>
      <c r="E376" s="4" t="s">
        <v>1190</v>
      </c>
      <c r="F376" s="5"/>
      <c r="G376" s="26">
        <v>1972</v>
      </c>
      <c r="H376" s="5"/>
      <c r="I376" s="5"/>
      <c r="J376" s="5"/>
      <c r="M376" s="4" t="s">
        <v>1709</v>
      </c>
      <c r="N376" s="2" t="s">
        <v>1710</v>
      </c>
      <c r="O376" s="28" t="s">
        <v>2718</v>
      </c>
      <c r="P376" s="3"/>
      <c r="Q376" s="27">
        <v>2</v>
      </c>
      <c r="R376" s="3"/>
      <c r="S376" s="3"/>
      <c r="T376" s="3"/>
      <c r="U376" s="3"/>
      <c r="V376" s="3"/>
      <c r="W376" s="3"/>
      <c r="X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>
        <v>9</v>
      </c>
      <c r="BC376" s="3"/>
      <c r="BD376" s="3"/>
      <c r="BE376" s="3"/>
      <c r="BF376" s="3"/>
      <c r="BG376" s="3">
        <v>9</v>
      </c>
      <c r="BH376" s="3"/>
      <c r="BI376" s="3"/>
      <c r="BJ376" s="3"/>
      <c r="BK376" s="3">
        <v>3</v>
      </c>
      <c r="BL376" s="3"/>
      <c r="BM376" s="3">
        <v>1</v>
      </c>
      <c r="BN376" s="3">
        <v>3</v>
      </c>
      <c r="BO376" s="3"/>
      <c r="BP376" s="3"/>
      <c r="BQ376" s="3">
        <v>8</v>
      </c>
      <c r="BR376" s="3"/>
      <c r="BS376" s="3">
        <v>7</v>
      </c>
      <c r="BT376" s="19">
        <v>9</v>
      </c>
      <c r="BU376" s="3">
        <v>1</v>
      </c>
      <c r="BV376" s="19">
        <v>7</v>
      </c>
      <c r="BW376" s="3"/>
      <c r="BX376" s="19">
        <v>7</v>
      </c>
      <c r="BY376" s="3"/>
      <c r="BZ376" s="19">
        <v>2</v>
      </c>
      <c r="CA376" s="19">
        <v>7</v>
      </c>
      <c r="CB376" s="3"/>
      <c r="CC376" s="3"/>
      <c r="CD376" s="3">
        <v>1</v>
      </c>
      <c r="CE376" s="19">
        <v>4</v>
      </c>
      <c r="CF376" s="3">
        <v>2</v>
      </c>
      <c r="CG376" s="3"/>
      <c r="CH376" s="3"/>
      <c r="CI376" s="3">
        <v>5</v>
      </c>
      <c r="CJ376" s="3">
        <v>1</v>
      </c>
      <c r="CK376" s="3"/>
      <c r="CL376" s="3">
        <v>1</v>
      </c>
      <c r="CM376" s="3"/>
      <c r="CN376" s="3"/>
      <c r="CO376" s="3"/>
      <c r="CP376" s="3"/>
      <c r="CT376" s="3"/>
      <c r="CU376" s="3">
        <v>5</v>
      </c>
      <c r="CV376" s="3">
        <v>1</v>
      </c>
      <c r="CW376" s="3">
        <v>8</v>
      </c>
      <c r="CX376" s="3">
        <v>7</v>
      </c>
      <c r="CY376" s="3">
        <v>1</v>
      </c>
      <c r="CZ376" s="3">
        <v>1</v>
      </c>
      <c r="DA376" s="3">
        <v>9</v>
      </c>
      <c r="DB376" s="3">
        <v>3</v>
      </c>
      <c r="DC376" s="3">
        <v>3</v>
      </c>
      <c r="DD376" s="3">
        <v>1</v>
      </c>
      <c r="DE376" s="3">
        <v>9</v>
      </c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R376" s="3"/>
    </row>
    <row r="377" spans="1:124" ht="15" customHeight="1" x14ac:dyDescent="0.25">
      <c r="A377" s="6" t="s">
        <v>516</v>
      </c>
      <c r="B377" s="2" t="s">
        <v>784</v>
      </c>
      <c r="C377" s="2" t="s">
        <v>1711</v>
      </c>
      <c r="D377" s="25" t="s">
        <v>1706</v>
      </c>
      <c r="E377" s="4" t="s">
        <v>1190</v>
      </c>
      <c r="F377" s="5"/>
      <c r="G377" s="29"/>
      <c r="H377" s="5"/>
      <c r="I377" s="5"/>
      <c r="J377" s="5"/>
      <c r="M377" s="4" t="s">
        <v>1866</v>
      </c>
      <c r="N377" s="2" t="s">
        <v>1712</v>
      </c>
      <c r="O377" s="28" t="s">
        <v>2719</v>
      </c>
      <c r="P377" s="3"/>
      <c r="Q377" s="27">
        <v>2</v>
      </c>
      <c r="R377" s="3"/>
      <c r="S377" s="3"/>
      <c r="T377" s="3">
        <v>5</v>
      </c>
      <c r="U377" s="3">
        <v>1</v>
      </c>
      <c r="V377" s="3"/>
      <c r="W377" s="3">
        <v>3</v>
      </c>
      <c r="X377" s="3"/>
      <c r="Z377" s="3"/>
      <c r="AA377" s="3"/>
      <c r="AB377" s="3">
        <v>2</v>
      </c>
      <c r="AC377" s="3">
        <v>3</v>
      </c>
      <c r="AD377" s="3"/>
      <c r="AE377" s="3"/>
      <c r="AF377" s="3">
        <v>1</v>
      </c>
      <c r="AG377" s="3"/>
      <c r="AH377" s="3"/>
      <c r="AI377" s="3">
        <v>9</v>
      </c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>
        <v>1</v>
      </c>
      <c r="AX377" s="3"/>
      <c r="AY377" s="3">
        <v>9</v>
      </c>
      <c r="AZ377" s="3"/>
      <c r="BA377" s="3"/>
      <c r="BB377" s="3">
        <v>1</v>
      </c>
      <c r="BC377" s="3"/>
      <c r="BD377" s="3"/>
      <c r="BE377" s="3"/>
      <c r="BF377" s="3"/>
      <c r="BG377" s="3">
        <v>9</v>
      </c>
      <c r="BH377" s="3"/>
      <c r="BI377" s="3">
        <v>1006</v>
      </c>
      <c r="BJ377" s="3">
        <v>864</v>
      </c>
      <c r="BK377" s="3">
        <v>3</v>
      </c>
      <c r="BL377" s="3"/>
      <c r="BM377" s="3"/>
      <c r="BN377" s="3">
        <v>4</v>
      </c>
      <c r="BO377" s="3"/>
      <c r="BP377" s="3"/>
      <c r="BQ377" s="3">
        <v>1</v>
      </c>
      <c r="BR377" s="3">
        <v>1</v>
      </c>
      <c r="BS377" s="3">
        <v>1</v>
      </c>
      <c r="BT377" s="3">
        <v>1</v>
      </c>
      <c r="BU377" s="3">
        <v>1</v>
      </c>
      <c r="BV377" s="3">
        <v>1</v>
      </c>
      <c r="BW377" s="3">
        <v>1</v>
      </c>
      <c r="BX377" s="3">
        <v>1</v>
      </c>
      <c r="BY377" s="3">
        <v>1</v>
      </c>
      <c r="BZ377" s="3">
        <v>1</v>
      </c>
      <c r="CA377" s="3">
        <v>1</v>
      </c>
      <c r="CB377" s="3">
        <v>1</v>
      </c>
      <c r="CC377" s="3">
        <v>1</v>
      </c>
      <c r="CD377" s="3">
        <v>1</v>
      </c>
      <c r="CE377" s="3"/>
      <c r="CF377" s="3"/>
      <c r="CG377" s="3"/>
      <c r="CH377" s="3">
        <v>1</v>
      </c>
      <c r="CI377" s="3">
        <v>1</v>
      </c>
      <c r="CJ377" s="3"/>
      <c r="CK377" s="19">
        <v>1</v>
      </c>
      <c r="CL377" s="19">
        <v>1</v>
      </c>
      <c r="CM377" s="19">
        <v>1</v>
      </c>
      <c r="CN377" s="3"/>
      <c r="CO377" s="3"/>
      <c r="CP377" s="3"/>
      <c r="CT377" s="3"/>
      <c r="CU377" s="3"/>
      <c r="CV377" s="3"/>
      <c r="CW377" s="3"/>
      <c r="CX377" s="3"/>
      <c r="CY377" s="3">
        <v>1</v>
      </c>
      <c r="CZ377" s="3">
        <v>1</v>
      </c>
      <c r="DA377" s="3">
        <v>1</v>
      </c>
      <c r="DB377" s="3">
        <v>1</v>
      </c>
      <c r="DC377" s="3">
        <v>1</v>
      </c>
      <c r="DD377" s="3">
        <v>1</v>
      </c>
      <c r="DE377" s="3">
        <v>1</v>
      </c>
      <c r="DF377" s="3">
        <v>1</v>
      </c>
      <c r="DG377" s="3">
        <v>1</v>
      </c>
      <c r="DH377" s="3">
        <v>1</v>
      </c>
      <c r="DI377" s="3">
        <v>1</v>
      </c>
      <c r="DJ377" s="3">
        <v>1</v>
      </c>
      <c r="DK377" s="3">
        <v>1</v>
      </c>
      <c r="DL377" s="3"/>
      <c r="DM377" s="3"/>
      <c r="DN377" s="3"/>
      <c r="DO377" s="3"/>
      <c r="DP377" s="3"/>
      <c r="DQ377" s="19">
        <v>1</v>
      </c>
      <c r="DR377" s="3"/>
    </row>
    <row r="378" spans="1:124" ht="15" customHeight="1" x14ac:dyDescent="0.25">
      <c r="A378" s="6" t="s">
        <v>517</v>
      </c>
      <c r="B378" s="2" t="s">
        <v>784</v>
      </c>
      <c r="C378" s="2" t="s">
        <v>1713</v>
      </c>
      <c r="D378" s="25" t="s">
        <v>1706</v>
      </c>
      <c r="E378" s="4" t="s">
        <v>1190</v>
      </c>
      <c r="F378" s="5"/>
      <c r="G378" s="29"/>
      <c r="H378" s="5"/>
      <c r="I378" s="5"/>
      <c r="J378" s="5"/>
      <c r="M378" s="5"/>
      <c r="N378" s="2" t="s">
        <v>1714</v>
      </c>
      <c r="O378" s="28" t="s">
        <v>2720</v>
      </c>
      <c r="P378" s="3"/>
      <c r="Q378" s="27">
        <v>2</v>
      </c>
      <c r="R378" s="3"/>
      <c r="S378" s="3"/>
      <c r="T378" s="3"/>
      <c r="U378" s="3"/>
      <c r="V378" s="3"/>
      <c r="W378" s="3">
        <v>4</v>
      </c>
      <c r="X378" s="3"/>
      <c r="Z378" s="3"/>
      <c r="AA378" s="3"/>
      <c r="AB378" s="3"/>
      <c r="AC378" s="3">
        <v>4</v>
      </c>
      <c r="AD378" s="3"/>
      <c r="AE378" s="3"/>
      <c r="AF378" s="3">
        <v>3</v>
      </c>
      <c r="AG378" s="3">
        <v>1</v>
      </c>
      <c r="AH378" s="3">
        <v>3</v>
      </c>
      <c r="AI378" s="3">
        <v>9</v>
      </c>
      <c r="AJ378" s="3">
        <v>3</v>
      </c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>
        <v>9</v>
      </c>
      <c r="AX378" s="3">
        <v>2</v>
      </c>
      <c r="AY378" s="3">
        <v>9</v>
      </c>
      <c r="AZ378" s="3">
        <v>3</v>
      </c>
      <c r="BA378" s="3">
        <v>1</v>
      </c>
      <c r="BB378" s="3">
        <v>9</v>
      </c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>
        <v>9</v>
      </c>
      <c r="BN378" s="3"/>
      <c r="BO378" s="3"/>
      <c r="BP378" s="3"/>
      <c r="BQ378" s="3"/>
      <c r="BR378" s="3">
        <v>3</v>
      </c>
      <c r="BS378" s="3"/>
      <c r="BT378" s="19">
        <v>6</v>
      </c>
      <c r="BU378" s="3">
        <v>2</v>
      </c>
      <c r="BV378" s="19">
        <v>3</v>
      </c>
      <c r="BW378" s="19">
        <v>2</v>
      </c>
      <c r="BX378" s="19">
        <v>4</v>
      </c>
      <c r="BY378" s="19">
        <v>1</v>
      </c>
      <c r="BZ378" s="19">
        <v>5</v>
      </c>
      <c r="CA378" s="19">
        <v>5</v>
      </c>
      <c r="CB378" s="19">
        <v>3</v>
      </c>
      <c r="CC378" s="19">
        <v>3</v>
      </c>
      <c r="CD378" s="3"/>
      <c r="CE378" s="19">
        <v>3</v>
      </c>
      <c r="CF378" s="3">
        <v>3</v>
      </c>
      <c r="CG378" s="19">
        <v>5</v>
      </c>
      <c r="CH378" s="3"/>
      <c r="CI378" s="3">
        <v>8</v>
      </c>
      <c r="CJ378" s="3">
        <v>3</v>
      </c>
      <c r="CK378" s="3">
        <v>7</v>
      </c>
      <c r="CL378" s="3"/>
      <c r="CM378" s="19">
        <v>1</v>
      </c>
      <c r="CN378" s="3"/>
      <c r="CO378" s="3"/>
      <c r="CP378" s="3"/>
      <c r="CT378" s="3">
        <v>2</v>
      </c>
      <c r="CU378" s="3">
        <v>4</v>
      </c>
      <c r="CV378" s="3">
        <v>6</v>
      </c>
      <c r="CW378" s="3">
        <v>3</v>
      </c>
      <c r="CX378" s="3">
        <v>1</v>
      </c>
      <c r="CY378" s="3">
        <v>1</v>
      </c>
      <c r="CZ378" s="3">
        <v>1</v>
      </c>
      <c r="DA378" s="3">
        <v>1</v>
      </c>
      <c r="DB378" s="3">
        <v>1</v>
      </c>
      <c r="DC378" s="3">
        <v>1</v>
      </c>
      <c r="DD378" s="3">
        <v>1</v>
      </c>
      <c r="DE378" s="3">
        <v>3</v>
      </c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R378" s="3"/>
    </row>
    <row r="379" spans="1:124" ht="15" customHeight="1" x14ac:dyDescent="0.25">
      <c r="A379" s="6" t="s">
        <v>518</v>
      </c>
      <c r="B379" s="2" t="s">
        <v>784</v>
      </c>
      <c r="C379" s="2" t="s">
        <v>1715</v>
      </c>
      <c r="D379" s="25" t="s">
        <v>1706</v>
      </c>
      <c r="E379" s="4" t="s">
        <v>1190</v>
      </c>
      <c r="F379" s="5"/>
      <c r="G379" s="29"/>
      <c r="H379" s="5"/>
      <c r="I379" s="5"/>
      <c r="J379" s="5"/>
      <c r="M379" s="5"/>
      <c r="N379" s="2" t="s">
        <v>1716</v>
      </c>
      <c r="O379" s="28" t="s">
        <v>2721</v>
      </c>
      <c r="P379" s="3"/>
      <c r="Q379" s="27">
        <v>2</v>
      </c>
      <c r="R379" s="3"/>
      <c r="S379" s="3"/>
      <c r="T379" s="3">
        <v>5</v>
      </c>
      <c r="U379" s="3">
        <v>1</v>
      </c>
      <c r="V379" s="3"/>
      <c r="W379" s="3">
        <v>3</v>
      </c>
      <c r="X379" s="3"/>
      <c r="Z379" s="3"/>
      <c r="AA379" s="3"/>
      <c r="AB379" s="3">
        <v>2</v>
      </c>
      <c r="AC379" s="3">
        <v>3</v>
      </c>
      <c r="AD379" s="3"/>
      <c r="AE379" s="3"/>
      <c r="AF379" s="3">
        <v>1</v>
      </c>
      <c r="AG379" s="3"/>
      <c r="AH379" s="3"/>
      <c r="AI379" s="3">
        <v>9</v>
      </c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>
        <v>1</v>
      </c>
      <c r="AX379" s="3"/>
      <c r="AY379" s="3">
        <v>9</v>
      </c>
      <c r="AZ379" s="3"/>
      <c r="BA379" s="3"/>
      <c r="BB379" s="3">
        <v>1</v>
      </c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>
        <v>0</v>
      </c>
      <c r="BQ379" s="3"/>
      <c r="BR379" s="3">
        <v>1</v>
      </c>
      <c r="BS379" s="3"/>
      <c r="BT379" s="19">
        <v>2</v>
      </c>
      <c r="BU379" s="3">
        <v>1</v>
      </c>
      <c r="BV379" s="19">
        <v>1</v>
      </c>
      <c r="BW379" s="19">
        <v>1</v>
      </c>
      <c r="BX379" s="19">
        <v>1</v>
      </c>
      <c r="BY379" s="19">
        <v>1</v>
      </c>
      <c r="BZ379" s="19">
        <v>5</v>
      </c>
      <c r="CA379" s="19">
        <v>1</v>
      </c>
      <c r="CB379" s="19">
        <v>1</v>
      </c>
      <c r="CC379" s="19">
        <v>2</v>
      </c>
      <c r="CD379" s="3">
        <v>1</v>
      </c>
      <c r="CE379" s="19">
        <v>1</v>
      </c>
      <c r="CF379" s="3">
        <v>1</v>
      </c>
      <c r="CG379" s="19">
        <v>1</v>
      </c>
      <c r="CH379" s="3">
        <v>1</v>
      </c>
      <c r="CI379" s="3">
        <v>2</v>
      </c>
      <c r="CJ379" s="3">
        <v>1</v>
      </c>
      <c r="CK379" s="3">
        <v>3</v>
      </c>
      <c r="CL379" s="3">
        <v>3</v>
      </c>
      <c r="CM379" s="3"/>
      <c r="CN379" s="3"/>
      <c r="CO379" s="3"/>
      <c r="CP379" s="3"/>
      <c r="CT379" s="3">
        <v>1</v>
      </c>
      <c r="CU379" s="3">
        <v>1</v>
      </c>
      <c r="CV379" s="3">
        <v>1</v>
      </c>
      <c r="CW379" s="3">
        <v>1</v>
      </c>
      <c r="CX379" s="3">
        <v>1</v>
      </c>
      <c r="CY379" s="3">
        <v>1</v>
      </c>
      <c r="CZ379" s="3">
        <v>1</v>
      </c>
      <c r="DA379" s="3">
        <v>1</v>
      </c>
      <c r="DB379" s="3">
        <v>1</v>
      </c>
      <c r="DC379" s="3">
        <v>1</v>
      </c>
      <c r="DD379" s="3">
        <v>1</v>
      </c>
      <c r="DE379" s="3">
        <v>1</v>
      </c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R379" s="3"/>
    </row>
    <row r="380" spans="1:124" ht="15" customHeight="1" x14ac:dyDescent="0.25">
      <c r="A380" s="6" t="s">
        <v>519</v>
      </c>
      <c r="B380" s="2" t="s">
        <v>784</v>
      </c>
      <c r="C380" s="2" t="s">
        <v>1717</v>
      </c>
      <c r="D380" s="25" t="s">
        <v>1706</v>
      </c>
      <c r="E380" s="4" t="s">
        <v>1190</v>
      </c>
      <c r="F380" s="5"/>
      <c r="G380" s="29"/>
      <c r="H380" s="5"/>
      <c r="I380" s="5"/>
      <c r="J380" s="5"/>
      <c r="M380" s="5"/>
      <c r="N380" s="2" t="s">
        <v>1718</v>
      </c>
      <c r="O380" s="28" t="s">
        <v>2722</v>
      </c>
      <c r="P380" s="3"/>
      <c r="Q380" s="27">
        <v>2</v>
      </c>
      <c r="R380" s="3"/>
      <c r="S380" s="3">
        <v>2</v>
      </c>
      <c r="T380" s="3"/>
      <c r="U380" s="3">
        <v>1</v>
      </c>
      <c r="V380" s="3"/>
      <c r="W380" s="3">
        <v>3</v>
      </c>
      <c r="X380" s="3"/>
      <c r="Z380" s="3"/>
      <c r="AA380" s="3"/>
      <c r="AB380" s="3">
        <v>2</v>
      </c>
      <c r="AC380" s="3">
        <v>4</v>
      </c>
      <c r="AD380" s="3"/>
      <c r="AE380" s="3"/>
      <c r="AF380" s="3">
        <v>1</v>
      </c>
      <c r="AG380" s="3"/>
      <c r="AH380" s="3"/>
      <c r="AI380" s="3">
        <v>9</v>
      </c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>
        <v>1</v>
      </c>
      <c r="AX380" s="3"/>
      <c r="AY380" s="3">
        <v>9</v>
      </c>
      <c r="AZ380" s="3"/>
      <c r="BA380" s="3"/>
      <c r="BB380" s="3">
        <v>1</v>
      </c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>
        <v>9</v>
      </c>
      <c r="BN380" s="3"/>
      <c r="BO380" s="3"/>
      <c r="BP380" s="3">
        <v>0</v>
      </c>
      <c r="BQ380" s="3">
        <v>1</v>
      </c>
      <c r="BR380" s="3">
        <v>1</v>
      </c>
      <c r="BS380" s="3">
        <v>2</v>
      </c>
      <c r="BT380" s="3">
        <v>1</v>
      </c>
      <c r="BU380" s="3">
        <v>2</v>
      </c>
      <c r="BV380" s="3">
        <v>1</v>
      </c>
      <c r="BW380" s="3">
        <v>2</v>
      </c>
      <c r="BX380" s="3">
        <v>1</v>
      </c>
      <c r="BY380" s="3">
        <v>1</v>
      </c>
      <c r="BZ380" s="3">
        <v>1</v>
      </c>
      <c r="CA380" s="3">
        <v>2</v>
      </c>
      <c r="CB380" s="3">
        <v>1</v>
      </c>
      <c r="CC380" s="3">
        <v>1</v>
      </c>
      <c r="CD380" s="3">
        <v>1</v>
      </c>
      <c r="CE380" s="19">
        <v>1</v>
      </c>
      <c r="CF380" s="3">
        <v>1</v>
      </c>
      <c r="CG380" s="19">
        <v>3</v>
      </c>
      <c r="CH380" s="3">
        <v>1</v>
      </c>
      <c r="CI380" s="3"/>
      <c r="CJ380" s="3">
        <v>1</v>
      </c>
      <c r="CK380" s="3">
        <v>1</v>
      </c>
      <c r="CL380" s="3">
        <v>3</v>
      </c>
      <c r="CM380" s="3"/>
      <c r="CN380" s="3"/>
      <c r="CO380" s="3"/>
      <c r="CP380" s="3"/>
      <c r="CT380" s="3">
        <v>1</v>
      </c>
      <c r="CU380" s="3">
        <v>1</v>
      </c>
      <c r="CV380" s="3">
        <v>1</v>
      </c>
      <c r="CW380" s="3">
        <v>1</v>
      </c>
      <c r="CX380" s="3">
        <v>1</v>
      </c>
      <c r="CY380" s="3">
        <v>1</v>
      </c>
      <c r="CZ380" s="3">
        <v>1</v>
      </c>
      <c r="DA380" s="3">
        <v>1</v>
      </c>
      <c r="DB380" s="3">
        <v>1</v>
      </c>
      <c r="DC380" s="3">
        <v>1</v>
      </c>
      <c r="DD380" s="3">
        <v>1</v>
      </c>
      <c r="DE380" s="3">
        <v>1</v>
      </c>
      <c r="DF380" s="3">
        <v>9</v>
      </c>
      <c r="DG380" s="3">
        <v>9</v>
      </c>
      <c r="DH380" s="3">
        <v>9</v>
      </c>
      <c r="DI380" s="3">
        <v>9</v>
      </c>
      <c r="DJ380" s="3">
        <v>9</v>
      </c>
      <c r="DK380" s="3">
        <v>9</v>
      </c>
      <c r="DL380" s="3"/>
      <c r="DM380" s="3"/>
      <c r="DN380" s="3"/>
      <c r="DO380" s="3"/>
      <c r="DP380" s="3"/>
      <c r="DR380" s="3"/>
    </row>
    <row r="381" spans="1:124" ht="15" customHeight="1" x14ac:dyDescent="0.25">
      <c r="A381" s="6" t="s">
        <v>520</v>
      </c>
      <c r="B381" s="2" t="s">
        <v>784</v>
      </c>
      <c r="C381" s="2" t="s">
        <v>1719</v>
      </c>
      <c r="D381" s="25" t="s">
        <v>1706</v>
      </c>
      <c r="E381" s="4" t="s">
        <v>1190</v>
      </c>
      <c r="F381" s="4" t="s">
        <v>793</v>
      </c>
      <c r="G381" s="26">
        <v>1983</v>
      </c>
      <c r="H381" s="5"/>
      <c r="I381" s="5"/>
      <c r="J381" s="5"/>
      <c r="M381" s="5"/>
      <c r="N381" s="2" t="s">
        <v>1720</v>
      </c>
      <c r="O381" s="28" t="s">
        <v>2723</v>
      </c>
      <c r="P381" s="3"/>
      <c r="Q381" s="27">
        <v>2</v>
      </c>
      <c r="R381" s="3"/>
      <c r="S381" s="3"/>
      <c r="T381" s="3"/>
      <c r="U381" s="3"/>
      <c r="V381" s="3"/>
      <c r="W381" s="3">
        <v>3</v>
      </c>
      <c r="X381" s="3"/>
      <c r="Z381" s="3"/>
      <c r="AA381" s="3"/>
      <c r="AB381" s="3">
        <v>2</v>
      </c>
      <c r="AC381" s="3">
        <v>5</v>
      </c>
      <c r="AD381" s="3"/>
      <c r="AE381" s="3"/>
      <c r="AF381" s="3">
        <v>1</v>
      </c>
      <c r="AG381" s="3"/>
      <c r="AH381" s="3"/>
      <c r="AI381" s="3">
        <v>9</v>
      </c>
      <c r="AJ381" s="3">
        <v>3</v>
      </c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>
        <v>9</v>
      </c>
      <c r="AZ381" s="3">
        <v>3</v>
      </c>
      <c r="BA381" s="3"/>
      <c r="BB381" s="3">
        <v>1</v>
      </c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>
        <v>1</v>
      </c>
      <c r="BQ381" s="3">
        <v>1</v>
      </c>
      <c r="BR381" s="3">
        <v>1</v>
      </c>
      <c r="BS381" s="3">
        <v>1</v>
      </c>
      <c r="BT381" s="3">
        <v>1</v>
      </c>
      <c r="BU381" s="3">
        <v>1</v>
      </c>
      <c r="BV381" s="3">
        <v>1</v>
      </c>
      <c r="BW381" s="3">
        <v>1</v>
      </c>
      <c r="BX381" s="3"/>
      <c r="BY381" s="3">
        <v>1</v>
      </c>
      <c r="BZ381" s="3">
        <v>1</v>
      </c>
      <c r="CA381" s="3">
        <v>3</v>
      </c>
      <c r="CB381" s="3">
        <v>1</v>
      </c>
      <c r="CC381" s="3">
        <v>1</v>
      </c>
      <c r="CD381" s="3">
        <v>2</v>
      </c>
      <c r="CE381" s="19">
        <v>1</v>
      </c>
      <c r="CF381" s="3">
        <v>1</v>
      </c>
      <c r="CG381" s="19">
        <v>1</v>
      </c>
      <c r="CH381" s="3"/>
      <c r="CI381" s="3">
        <v>1</v>
      </c>
      <c r="CJ381" s="3">
        <v>1</v>
      </c>
      <c r="CK381" s="3">
        <v>1</v>
      </c>
      <c r="CL381" s="3">
        <v>1</v>
      </c>
      <c r="CM381" s="3"/>
      <c r="CN381" s="3"/>
      <c r="CO381" s="3"/>
      <c r="CP381" s="3"/>
      <c r="CT381" s="3">
        <v>1</v>
      </c>
      <c r="CU381" s="3">
        <v>1</v>
      </c>
      <c r="CV381" s="3">
        <v>1</v>
      </c>
      <c r="CW381" s="3">
        <v>1</v>
      </c>
      <c r="CX381" s="3">
        <v>1</v>
      </c>
      <c r="CY381" s="3">
        <v>1</v>
      </c>
      <c r="CZ381" s="3">
        <v>1</v>
      </c>
      <c r="DA381" s="3">
        <v>1</v>
      </c>
      <c r="DB381" s="3">
        <v>1</v>
      </c>
      <c r="DC381" s="3">
        <v>1</v>
      </c>
      <c r="DD381" s="3">
        <v>1</v>
      </c>
      <c r="DE381" s="3">
        <v>1</v>
      </c>
      <c r="DF381" s="3">
        <v>9</v>
      </c>
      <c r="DG381" s="3">
        <v>9</v>
      </c>
      <c r="DH381" s="3">
        <v>5</v>
      </c>
      <c r="DI381" s="3">
        <v>9</v>
      </c>
      <c r="DJ381" s="3">
        <v>9</v>
      </c>
      <c r="DK381" s="3">
        <v>9</v>
      </c>
      <c r="DL381" s="3">
        <v>5</v>
      </c>
      <c r="DM381" s="3">
        <v>3</v>
      </c>
      <c r="DN381" s="3"/>
      <c r="DO381" s="3"/>
      <c r="DP381" s="3"/>
      <c r="DR381" s="3"/>
    </row>
    <row r="382" spans="1:124" ht="15" customHeight="1" x14ac:dyDescent="0.25">
      <c r="A382" s="6" t="s">
        <v>521</v>
      </c>
      <c r="B382" s="2" t="s">
        <v>784</v>
      </c>
      <c r="C382" s="2" t="s">
        <v>1721</v>
      </c>
      <c r="D382" s="25" t="s">
        <v>1706</v>
      </c>
      <c r="E382" s="4" t="s">
        <v>1190</v>
      </c>
      <c r="F382" s="4" t="s">
        <v>793</v>
      </c>
      <c r="G382" s="26">
        <v>1983</v>
      </c>
      <c r="H382" s="5"/>
      <c r="I382" s="5"/>
      <c r="J382" s="5"/>
      <c r="M382" s="5" t="s">
        <v>1722</v>
      </c>
      <c r="N382" s="2" t="s">
        <v>1723</v>
      </c>
      <c r="O382" s="28" t="s">
        <v>2724</v>
      </c>
      <c r="P382" s="3"/>
      <c r="Q382" s="27">
        <v>2</v>
      </c>
      <c r="R382" s="3"/>
      <c r="S382" s="3"/>
      <c r="T382" s="3"/>
      <c r="U382" s="3"/>
      <c r="V382" s="3"/>
      <c r="W382" s="3">
        <v>3</v>
      </c>
      <c r="X382" s="3"/>
      <c r="Z382" s="3"/>
      <c r="AA382" s="3"/>
      <c r="AB382" s="3">
        <v>2</v>
      </c>
      <c r="AC382" s="3">
        <v>3</v>
      </c>
      <c r="AD382" s="3"/>
      <c r="AE382" s="3"/>
      <c r="AF382" s="3">
        <v>1</v>
      </c>
      <c r="AG382" s="3"/>
      <c r="AH382" s="3"/>
      <c r="AI382" s="3">
        <v>9</v>
      </c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>
        <v>1</v>
      </c>
      <c r="AX382" s="3"/>
      <c r="AY382" s="3">
        <v>9</v>
      </c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>
        <v>2</v>
      </c>
      <c r="BN382" s="3">
        <v>4</v>
      </c>
      <c r="BO382" s="3"/>
      <c r="BP382" s="3">
        <v>0</v>
      </c>
      <c r="BQ382" s="3">
        <v>1</v>
      </c>
      <c r="BR382" s="3">
        <v>1</v>
      </c>
      <c r="BS382" s="3">
        <v>3</v>
      </c>
      <c r="BT382" s="3">
        <v>1</v>
      </c>
      <c r="BU382" s="3">
        <v>1</v>
      </c>
      <c r="BV382" s="3">
        <v>1</v>
      </c>
      <c r="BW382" s="3">
        <v>1</v>
      </c>
      <c r="BX382" s="3"/>
      <c r="BY382" s="3">
        <v>1</v>
      </c>
      <c r="BZ382" s="3">
        <v>1</v>
      </c>
      <c r="CA382" s="3">
        <v>3</v>
      </c>
      <c r="CB382" s="3">
        <v>1</v>
      </c>
      <c r="CC382" s="3">
        <v>1</v>
      </c>
      <c r="CD382" s="3">
        <v>2</v>
      </c>
      <c r="CE382" s="19">
        <v>1</v>
      </c>
      <c r="CF382" s="3">
        <v>1</v>
      </c>
      <c r="CG382" s="19">
        <v>1</v>
      </c>
      <c r="CH382" s="3">
        <v>3</v>
      </c>
      <c r="CI382" s="3">
        <v>1</v>
      </c>
      <c r="CJ382" s="3">
        <v>2</v>
      </c>
      <c r="CK382" s="3">
        <v>1</v>
      </c>
      <c r="CL382" s="3">
        <v>1</v>
      </c>
      <c r="CM382" s="3"/>
      <c r="CN382" s="3"/>
      <c r="CO382" s="3"/>
      <c r="CP382" s="3"/>
      <c r="CT382" s="3">
        <v>1</v>
      </c>
      <c r="CU382" s="3">
        <v>1</v>
      </c>
      <c r="CV382" s="3">
        <v>1</v>
      </c>
      <c r="CW382" s="3">
        <v>1</v>
      </c>
      <c r="CX382" s="3">
        <v>1</v>
      </c>
      <c r="CY382" s="3">
        <v>1</v>
      </c>
      <c r="CZ382" s="3">
        <v>1</v>
      </c>
      <c r="DA382" s="3">
        <v>1</v>
      </c>
      <c r="DB382" s="3">
        <v>1</v>
      </c>
      <c r="DC382" s="3">
        <v>1</v>
      </c>
      <c r="DD382" s="3">
        <v>1</v>
      </c>
      <c r="DE382" s="3">
        <v>1</v>
      </c>
      <c r="DF382" s="3">
        <v>1</v>
      </c>
      <c r="DG382" s="3">
        <v>1</v>
      </c>
      <c r="DH382" s="3">
        <v>1</v>
      </c>
      <c r="DI382" s="3">
        <v>1</v>
      </c>
      <c r="DJ382" s="3">
        <v>1</v>
      </c>
      <c r="DK382" s="3">
        <v>1</v>
      </c>
      <c r="DL382" s="3"/>
      <c r="DM382" s="3"/>
      <c r="DN382" s="3"/>
      <c r="DO382" s="3"/>
      <c r="DP382" s="3"/>
      <c r="DQ382" s="19">
        <v>1</v>
      </c>
      <c r="DR382" s="3"/>
    </row>
    <row r="383" spans="1:124" ht="15" customHeight="1" x14ac:dyDescent="0.25">
      <c r="A383" s="6" t="s">
        <v>522</v>
      </c>
      <c r="B383" s="2" t="s">
        <v>784</v>
      </c>
      <c r="C383" s="2" t="s">
        <v>1724</v>
      </c>
      <c r="D383" s="25" t="s">
        <v>1706</v>
      </c>
      <c r="E383" s="4" t="s">
        <v>1190</v>
      </c>
      <c r="F383" s="5"/>
      <c r="G383" s="26">
        <v>1972</v>
      </c>
      <c r="H383" s="5"/>
      <c r="I383" s="5"/>
      <c r="J383" s="5"/>
      <c r="M383" s="5"/>
      <c r="N383" s="2" t="s">
        <v>1725</v>
      </c>
      <c r="O383" s="28" t="s">
        <v>2725</v>
      </c>
      <c r="P383" s="3"/>
      <c r="Q383" s="27">
        <v>2</v>
      </c>
      <c r="R383" s="3"/>
      <c r="S383" s="3">
        <v>2</v>
      </c>
      <c r="T383" s="3"/>
      <c r="U383" s="3">
        <v>1</v>
      </c>
      <c r="V383" s="3"/>
      <c r="W383" s="3">
        <v>3</v>
      </c>
      <c r="X383" s="3"/>
      <c r="Z383" s="3"/>
      <c r="AA383" s="3"/>
      <c r="AB383" s="3">
        <v>2</v>
      </c>
      <c r="AC383" s="3">
        <v>4</v>
      </c>
      <c r="AD383" s="3"/>
      <c r="AE383" s="3"/>
      <c r="AF383" s="3">
        <v>5</v>
      </c>
      <c r="AG383" s="3">
        <v>1</v>
      </c>
      <c r="AH383" s="3">
        <v>3</v>
      </c>
      <c r="AI383" s="3">
        <v>9</v>
      </c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>
        <v>9</v>
      </c>
      <c r="AX383" s="3"/>
      <c r="AY383" s="3">
        <v>9</v>
      </c>
      <c r="AZ383" s="3"/>
      <c r="BA383" s="3"/>
      <c r="BB383" s="3">
        <v>9</v>
      </c>
      <c r="BC383" s="3"/>
      <c r="BD383" s="3"/>
      <c r="BE383" s="3"/>
      <c r="BF383" s="3"/>
      <c r="BG383" s="3">
        <v>9</v>
      </c>
      <c r="BH383" s="3"/>
      <c r="BI383" s="3"/>
      <c r="BJ383" s="3"/>
      <c r="BK383" s="3"/>
      <c r="BL383" s="3"/>
      <c r="BM383" s="3"/>
      <c r="BN383" s="3"/>
      <c r="BO383" s="3"/>
      <c r="BP383" s="3">
        <v>1</v>
      </c>
      <c r="BQ383" s="3">
        <v>9</v>
      </c>
      <c r="BR383" s="3">
        <v>9</v>
      </c>
      <c r="BS383" s="3">
        <v>9</v>
      </c>
      <c r="BT383" s="3">
        <v>7</v>
      </c>
      <c r="BU383" s="3">
        <v>3</v>
      </c>
      <c r="BV383" s="3">
        <v>9</v>
      </c>
      <c r="BW383" s="3">
        <v>3</v>
      </c>
      <c r="BX383" s="3">
        <v>7</v>
      </c>
      <c r="BY383" s="3">
        <v>3</v>
      </c>
      <c r="BZ383" s="3">
        <v>9</v>
      </c>
      <c r="CA383" s="3">
        <v>7</v>
      </c>
      <c r="CB383" s="3">
        <v>3</v>
      </c>
      <c r="CC383" s="3">
        <v>9</v>
      </c>
      <c r="CD383" s="3">
        <v>3</v>
      </c>
      <c r="CE383" s="3"/>
      <c r="CF383" s="3"/>
      <c r="CG383" s="3"/>
      <c r="CH383" s="3">
        <v>1</v>
      </c>
      <c r="CI383" s="3">
        <v>1</v>
      </c>
      <c r="CJ383" s="3"/>
      <c r="CK383" s="3"/>
      <c r="CL383" s="19">
        <v>1</v>
      </c>
      <c r="CM383" s="3"/>
      <c r="CN383" s="3"/>
      <c r="CO383" s="3"/>
      <c r="CP383" s="3"/>
      <c r="CT383" s="3"/>
      <c r="CU383" s="3"/>
      <c r="CV383" s="3"/>
      <c r="CW383" s="3"/>
      <c r="CX383" s="3"/>
      <c r="CY383" s="3">
        <v>1</v>
      </c>
      <c r="CZ383" s="3">
        <v>7</v>
      </c>
      <c r="DA383" s="3">
        <v>9</v>
      </c>
      <c r="DB383" s="3">
        <v>7</v>
      </c>
      <c r="DC383" s="3">
        <v>3</v>
      </c>
      <c r="DD383" s="3">
        <v>7</v>
      </c>
      <c r="DE383" s="3">
        <v>9</v>
      </c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R383" s="3"/>
    </row>
    <row r="384" spans="1:124" ht="15" customHeight="1" x14ac:dyDescent="0.25">
      <c r="A384" s="6" t="s">
        <v>523</v>
      </c>
      <c r="B384" s="2" t="s">
        <v>784</v>
      </c>
      <c r="C384" s="2" t="s">
        <v>1726</v>
      </c>
      <c r="D384" s="25" t="s">
        <v>1706</v>
      </c>
      <c r="E384" s="4" t="s">
        <v>1190</v>
      </c>
      <c r="F384" s="5"/>
      <c r="G384" s="26">
        <v>1972</v>
      </c>
      <c r="H384" s="5"/>
      <c r="I384" s="5"/>
      <c r="J384" s="5"/>
      <c r="M384" s="5"/>
      <c r="N384" s="2" t="s">
        <v>1727</v>
      </c>
      <c r="O384" s="28" t="s">
        <v>2726</v>
      </c>
      <c r="P384" s="3"/>
      <c r="Q384" s="27">
        <v>2</v>
      </c>
      <c r="R384" s="3"/>
      <c r="S384" s="3">
        <v>2</v>
      </c>
      <c r="T384" s="3">
        <v>3</v>
      </c>
      <c r="U384" s="3">
        <v>1</v>
      </c>
      <c r="V384" s="3"/>
      <c r="W384" s="3">
        <v>3</v>
      </c>
      <c r="X384" s="3"/>
      <c r="Z384" s="3"/>
      <c r="AA384" s="3"/>
      <c r="AB384" s="3">
        <v>2</v>
      </c>
      <c r="AC384" s="3">
        <v>3</v>
      </c>
      <c r="AD384" s="3"/>
      <c r="AE384" s="3"/>
      <c r="AF384" s="3">
        <v>5</v>
      </c>
      <c r="AG384" s="3">
        <v>1</v>
      </c>
      <c r="AH384" s="3">
        <v>3</v>
      </c>
      <c r="AI384" s="3">
        <v>9</v>
      </c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>
        <v>9</v>
      </c>
      <c r="AX384" s="3"/>
      <c r="AY384" s="3">
        <v>9</v>
      </c>
      <c r="AZ384" s="3"/>
      <c r="BA384" s="3"/>
      <c r="BB384" s="3">
        <v>9</v>
      </c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>
        <v>3</v>
      </c>
      <c r="BO384" s="3"/>
      <c r="BP384" s="3">
        <v>0</v>
      </c>
      <c r="BQ384" s="3">
        <v>9</v>
      </c>
      <c r="BR384" s="3">
        <v>9</v>
      </c>
      <c r="BS384" s="3">
        <v>9</v>
      </c>
      <c r="BT384" s="3">
        <v>7</v>
      </c>
      <c r="BU384" s="3">
        <v>7</v>
      </c>
      <c r="BV384" s="3">
        <v>9</v>
      </c>
      <c r="BW384" s="3">
        <v>3</v>
      </c>
      <c r="BX384" s="3">
        <v>9</v>
      </c>
      <c r="BY384" s="3">
        <v>3</v>
      </c>
      <c r="BZ384" s="3">
        <v>9</v>
      </c>
      <c r="CA384" s="3">
        <v>9</v>
      </c>
      <c r="CB384" s="3">
        <v>7</v>
      </c>
      <c r="CC384" s="3">
        <v>9</v>
      </c>
      <c r="CD384" s="3">
        <v>5</v>
      </c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T384" s="3"/>
      <c r="CU384" s="3"/>
      <c r="CV384" s="3"/>
      <c r="CW384" s="3"/>
      <c r="CX384" s="3"/>
      <c r="CY384" s="3">
        <v>1</v>
      </c>
      <c r="CZ384" s="3">
        <v>7</v>
      </c>
      <c r="DA384" s="3">
        <v>9</v>
      </c>
      <c r="DB384" s="3">
        <v>7</v>
      </c>
      <c r="DC384" s="3">
        <v>7</v>
      </c>
      <c r="DD384" s="3">
        <v>7</v>
      </c>
      <c r="DE384" s="3">
        <v>9</v>
      </c>
      <c r="DF384" s="3"/>
      <c r="DG384" s="3"/>
      <c r="DH384" s="3"/>
      <c r="DI384" s="3"/>
      <c r="DJ384" s="3"/>
      <c r="DK384" s="3"/>
      <c r="DL384" s="3">
        <v>2</v>
      </c>
      <c r="DM384" s="3">
        <v>6</v>
      </c>
      <c r="DN384" s="3"/>
      <c r="DO384" s="3"/>
      <c r="DP384" s="3"/>
      <c r="DR384" s="3"/>
    </row>
    <row r="385" spans="1:142" ht="15" customHeight="1" x14ac:dyDescent="0.25">
      <c r="A385" s="6" t="s">
        <v>524</v>
      </c>
      <c r="B385" s="2" t="s">
        <v>784</v>
      </c>
      <c r="C385" s="2" t="s">
        <v>1728</v>
      </c>
      <c r="D385" s="25" t="s">
        <v>1706</v>
      </c>
      <c r="E385" s="4" t="s">
        <v>1190</v>
      </c>
      <c r="F385" s="4" t="s">
        <v>813</v>
      </c>
      <c r="G385" s="26">
        <v>1983</v>
      </c>
      <c r="H385" s="5"/>
      <c r="I385" s="5"/>
      <c r="J385" s="5"/>
      <c r="M385" s="5"/>
      <c r="N385" s="2" t="s">
        <v>1729</v>
      </c>
      <c r="O385" s="28" t="s">
        <v>2727</v>
      </c>
      <c r="P385" s="3"/>
      <c r="Q385" s="27">
        <v>2</v>
      </c>
      <c r="R385" s="3"/>
      <c r="S385" s="3">
        <v>2</v>
      </c>
      <c r="T385" s="3">
        <v>3</v>
      </c>
      <c r="U385" s="3">
        <v>1</v>
      </c>
      <c r="V385" s="3"/>
      <c r="W385" s="3">
        <v>3</v>
      </c>
      <c r="X385" s="3"/>
      <c r="Z385" s="3"/>
      <c r="AA385" s="3"/>
      <c r="AB385" s="3">
        <v>4</v>
      </c>
      <c r="AC385" s="3"/>
      <c r="AD385" s="3"/>
      <c r="AE385" s="3"/>
      <c r="AF385" s="3">
        <v>4</v>
      </c>
      <c r="AG385" s="3"/>
      <c r="AH385" s="3">
        <v>2</v>
      </c>
      <c r="AI385" s="3">
        <v>9</v>
      </c>
      <c r="AJ385" s="3">
        <v>7</v>
      </c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>
        <v>9</v>
      </c>
      <c r="AX385" s="3">
        <v>2</v>
      </c>
      <c r="AY385" s="3">
        <v>9</v>
      </c>
      <c r="AZ385" s="3">
        <v>5</v>
      </c>
      <c r="BA385" s="3">
        <v>1</v>
      </c>
      <c r="BB385" s="3">
        <v>9</v>
      </c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>
        <v>3</v>
      </c>
      <c r="BO385" s="3"/>
      <c r="BP385" s="3">
        <v>1</v>
      </c>
      <c r="BQ385" s="3">
        <v>1</v>
      </c>
      <c r="BR385" s="3">
        <v>1</v>
      </c>
      <c r="BS385" s="3">
        <v>1</v>
      </c>
      <c r="BT385" s="3">
        <v>1</v>
      </c>
      <c r="BU385" s="3">
        <v>1</v>
      </c>
      <c r="BV385" s="3">
        <v>1</v>
      </c>
      <c r="BW385" s="3">
        <v>1</v>
      </c>
      <c r="BX385" s="3">
        <v>1</v>
      </c>
      <c r="BY385" s="3">
        <v>1</v>
      </c>
      <c r="BZ385" s="3">
        <v>1</v>
      </c>
      <c r="CA385" s="3">
        <v>1</v>
      </c>
      <c r="CB385" s="3">
        <v>1</v>
      </c>
      <c r="CC385" s="3">
        <v>1</v>
      </c>
      <c r="CD385" s="3">
        <v>1</v>
      </c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T385" s="3"/>
      <c r="CU385" s="3"/>
      <c r="CV385" s="3"/>
      <c r="CW385" s="3"/>
      <c r="CX385" s="3"/>
      <c r="CY385" s="3">
        <v>1</v>
      </c>
      <c r="CZ385" s="3">
        <v>1</v>
      </c>
      <c r="DA385" s="3">
        <v>1</v>
      </c>
      <c r="DB385" s="3">
        <v>1</v>
      </c>
      <c r="DC385" s="3">
        <v>1</v>
      </c>
      <c r="DD385" s="3">
        <v>1</v>
      </c>
      <c r="DE385" s="3">
        <v>1</v>
      </c>
      <c r="DF385" s="3">
        <v>1</v>
      </c>
      <c r="DG385" s="3">
        <v>1</v>
      </c>
      <c r="DH385" s="3">
        <v>1</v>
      </c>
      <c r="DI385" s="3">
        <v>1</v>
      </c>
      <c r="DJ385" s="3">
        <v>1</v>
      </c>
      <c r="DK385" s="3">
        <v>1</v>
      </c>
      <c r="DL385" s="3">
        <v>1</v>
      </c>
      <c r="DM385" s="3">
        <v>1</v>
      </c>
      <c r="DN385" s="3"/>
      <c r="DO385" s="3"/>
      <c r="DP385" s="3"/>
      <c r="DR385" s="3"/>
    </row>
    <row r="386" spans="1:142" ht="15" customHeight="1" x14ac:dyDescent="0.25">
      <c r="A386" s="6" t="s">
        <v>525</v>
      </c>
      <c r="B386" s="2" t="s">
        <v>784</v>
      </c>
      <c r="C386" s="2" t="s">
        <v>1730</v>
      </c>
      <c r="D386" s="25" t="s">
        <v>1706</v>
      </c>
      <c r="E386" s="4" t="s">
        <v>1190</v>
      </c>
      <c r="F386" s="4" t="s">
        <v>793</v>
      </c>
      <c r="G386" s="29"/>
      <c r="H386" s="5"/>
      <c r="I386" s="5"/>
      <c r="J386" s="5"/>
      <c r="M386" s="5"/>
      <c r="N386" s="2" t="s">
        <v>1731</v>
      </c>
      <c r="O386" s="28" t="s">
        <v>2728</v>
      </c>
      <c r="P386" s="3"/>
      <c r="Q386" s="27">
        <v>2</v>
      </c>
      <c r="R386" s="3"/>
      <c r="S386" s="3"/>
      <c r="T386" s="3"/>
      <c r="U386" s="3"/>
      <c r="V386" s="3"/>
      <c r="W386" s="3">
        <v>3</v>
      </c>
      <c r="X386" s="3"/>
      <c r="Z386" s="3"/>
      <c r="AA386" s="3"/>
      <c r="AB386" s="3">
        <v>2</v>
      </c>
      <c r="AC386" s="3">
        <v>3</v>
      </c>
      <c r="AD386" s="3"/>
      <c r="AE386" s="3"/>
      <c r="AF386" s="3">
        <v>1</v>
      </c>
      <c r="AG386" s="3"/>
      <c r="AH386" s="3"/>
      <c r="AI386" s="3">
        <v>9</v>
      </c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>
        <v>1</v>
      </c>
      <c r="AX386" s="3"/>
      <c r="AY386" s="3">
        <v>9</v>
      </c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>
        <v>1</v>
      </c>
      <c r="BN386" s="3"/>
      <c r="BO386" s="3"/>
      <c r="BP386" s="3">
        <v>1</v>
      </c>
      <c r="BQ386" s="3">
        <v>1</v>
      </c>
      <c r="BR386" s="3">
        <v>1</v>
      </c>
      <c r="BS386" s="3">
        <v>1</v>
      </c>
      <c r="BT386" s="3">
        <v>1</v>
      </c>
      <c r="BU386" s="3">
        <v>1</v>
      </c>
      <c r="BV386" s="3">
        <v>2</v>
      </c>
      <c r="BW386" s="3">
        <v>1</v>
      </c>
      <c r="BX386" s="3">
        <v>1</v>
      </c>
      <c r="BY386" s="3">
        <v>1</v>
      </c>
      <c r="BZ386" s="3">
        <v>1</v>
      </c>
      <c r="CA386" s="3"/>
      <c r="CB386" s="3">
        <v>1</v>
      </c>
      <c r="CC386" s="3">
        <v>1</v>
      </c>
      <c r="CD386" s="3">
        <v>1</v>
      </c>
      <c r="CE386" s="19">
        <v>1</v>
      </c>
      <c r="CF386" s="3">
        <v>1</v>
      </c>
      <c r="CG386" s="19">
        <v>1</v>
      </c>
      <c r="CH386" s="3">
        <v>1</v>
      </c>
      <c r="CI386" s="3">
        <v>1</v>
      </c>
      <c r="CJ386" s="3">
        <v>1</v>
      </c>
      <c r="CK386" s="3">
        <v>1</v>
      </c>
      <c r="CL386" s="3">
        <v>1</v>
      </c>
      <c r="CM386" s="3"/>
      <c r="CN386" s="3"/>
      <c r="CO386" s="3"/>
      <c r="CP386" s="3"/>
      <c r="CT386" s="3">
        <v>1</v>
      </c>
      <c r="CU386" s="3">
        <v>2</v>
      </c>
      <c r="CV386" s="3">
        <v>1</v>
      </c>
      <c r="CW386" s="3">
        <v>1</v>
      </c>
      <c r="CX386" s="3">
        <v>1</v>
      </c>
      <c r="CY386" s="3">
        <v>1</v>
      </c>
      <c r="CZ386" s="3">
        <v>1</v>
      </c>
      <c r="DA386" s="3">
        <v>1</v>
      </c>
      <c r="DB386" s="3">
        <v>1</v>
      </c>
      <c r="DC386" s="3">
        <v>1</v>
      </c>
      <c r="DD386" s="3">
        <v>1</v>
      </c>
      <c r="DE386" s="3">
        <v>1</v>
      </c>
      <c r="DF386" s="3">
        <v>1</v>
      </c>
      <c r="DG386" s="3">
        <v>1</v>
      </c>
      <c r="DH386" s="3">
        <v>1</v>
      </c>
      <c r="DI386" s="3">
        <v>1</v>
      </c>
      <c r="DJ386" s="3">
        <v>1</v>
      </c>
      <c r="DK386" s="3">
        <v>1</v>
      </c>
      <c r="DL386" s="3"/>
      <c r="DM386" s="3"/>
      <c r="DN386" s="3"/>
      <c r="DO386" s="3"/>
      <c r="DP386" s="3"/>
      <c r="DR386" s="3"/>
    </row>
    <row r="387" spans="1:142" ht="15" customHeight="1" x14ac:dyDescent="0.25">
      <c r="A387" s="6" t="s">
        <v>526</v>
      </c>
      <c r="B387" s="2" t="s">
        <v>784</v>
      </c>
      <c r="C387" s="2" t="s">
        <v>1732</v>
      </c>
      <c r="D387" s="25" t="s">
        <v>1706</v>
      </c>
      <c r="E387" s="4" t="s">
        <v>1190</v>
      </c>
      <c r="F387" s="5"/>
      <c r="G387" s="26">
        <v>1973</v>
      </c>
      <c r="H387" s="5"/>
      <c r="I387" s="5"/>
      <c r="J387" s="5"/>
      <c r="M387" s="5"/>
      <c r="N387" s="2" t="s">
        <v>1733</v>
      </c>
      <c r="O387" s="28" t="s">
        <v>2729</v>
      </c>
      <c r="P387" s="3"/>
      <c r="Q387" s="27">
        <v>2</v>
      </c>
      <c r="R387" s="3"/>
      <c r="S387" s="3"/>
      <c r="T387" s="3"/>
      <c r="U387" s="3"/>
      <c r="V387" s="3"/>
      <c r="W387" s="3">
        <v>7</v>
      </c>
      <c r="X387" s="3"/>
      <c r="Z387" s="3"/>
      <c r="AA387" s="3"/>
      <c r="AB387" s="3">
        <v>2</v>
      </c>
      <c r="AC387" s="3">
        <v>3</v>
      </c>
      <c r="AD387" s="3"/>
      <c r="AE387" s="3"/>
      <c r="AF387" s="3">
        <v>3</v>
      </c>
      <c r="AG387" s="3">
        <v>1</v>
      </c>
      <c r="AH387" s="3">
        <v>1</v>
      </c>
      <c r="AI387" s="3">
        <v>9</v>
      </c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>
        <v>9</v>
      </c>
      <c r="AX387" s="3"/>
      <c r="AY387" s="3">
        <v>1</v>
      </c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>
        <v>3</v>
      </c>
      <c r="BN387" s="3">
        <v>4</v>
      </c>
      <c r="BO387" s="3"/>
      <c r="BP387" s="3">
        <v>1</v>
      </c>
      <c r="BQ387" s="3">
        <v>1</v>
      </c>
      <c r="BR387" s="3">
        <v>1</v>
      </c>
      <c r="BS387" s="3">
        <v>1</v>
      </c>
      <c r="BT387" s="3">
        <v>1</v>
      </c>
      <c r="BU387" s="3">
        <v>2</v>
      </c>
      <c r="BV387" s="3">
        <v>1</v>
      </c>
      <c r="BW387" s="3">
        <v>1</v>
      </c>
      <c r="BX387" s="3"/>
      <c r="BY387" s="3">
        <v>2</v>
      </c>
      <c r="BZ387" s="3">
        <v>2</v>
      </c>
      <c r="CA387" s="3">
        <v>3</v>
      </c>
      <c r="CB387" s="3">
        <v>1</v>
      </c>
      <c r="CC387" s="3">
        <v>1</v>
      </c>
      <c r="CD387" s="3">
        <v>2</v>
      </c>
      <c r="CE387" s="19">
        <v>2</v>
      </c>
      <c r="CF387" s="3">
        <v>1</v>
      </c>
      <c r="CG387" s="19">
        <v>2</v>
      </c>
      <c r="CH387" s="3">
        <v>3</v>
      </c>
      <c r="CI387" s="3">
        <v>1</v>
      </c>
      <c r="CJ387" s="3">
        <v>2</v>
      </c>
      <c r="CK387" s="3">
        <v>1</v>
      </c>
      <c r="CL387" s="3">
        <v>1</v>
      </c>
      <c r="CM387" s="3"/>
      <c r="CN387" s="3"/>
      <c r="CO387" s="3"/>
      <c r="CP387" s="3"/>
      <c r="CT387" s="3">
        <v>5</v>
      </c>
      <c r="CU387" s="3">
        <v>2</v>
      </c>
      <c r="CV387" s="3">
        <v>1</v>
      </c>
      <c r="CW387" s="3"/>
      <c r="CX387" s="3">
        <v>1</v>
      </c>
      <c r="CY387" s="3">
        <v>1</v>
      </c>
      <c r="CZ387" s="3">
        <v>1</v>
      </c>
      <c r="DA387" s="3">
        <v>1</v>
      </c>
      <c r="DB387" s="3">
        <v>1</v>
      </c>
      <c r="DC387" s="3">
        <v>1</v>
      </c>
      <c r="DD387" s="3">
        <v>1</v>
      </c>
      <c r="DE387" s="3">
        <v>1</v>
      </c>
      <c r="DF387" s="3">
        <v>1</v>
      </c>
      <c r="DG387" s="3">
        <v>1</v>
      </c>
      <c r="DH387" s="3">
        <v>9</v>
      </c>
      <c r="DI387" s="3">
        <v>5</v>
      </c>
      <c r="DJ387" s="3">
        <v>1</v>
      </c>
      <c r="DK387" s="3">
        <v>5</v>
      </c>
      <c r="DL387" s="3"/>
      <c r="DM387" s="3"/>
      <c r="DN387" s="3"/>
      <c r="DO387" s="3"/>
      <c r="DP387" s="3"/>
      <c r="DR387" s="3"/>
    </row>
    <row r="388" spans="1:142" ht="15" customHeight="1" x14ac:dyDescent="0.25">
      <c r="A388" s="6" t="s">
        <v>527</v>
      </c>
      <c r="B388" s="2" t="s">
        <v>784</v>
      </c>
      <c r="C388" s="2" t="s">
        <v>1734</v>
      </c>
      <c r="D388" s="25" t="s">
        <v>1706</v>
      </c>
      <c r="E388" s="4" t="s">
        <v>1190</v>
      </c>
      <c r="F388" s="5"/>
      <c r="G388" s="29"/>
      <c r="H388" s="5"/>
      <c r="I388" s="5"/>
      <c r="J388" s="5"/>
      <c r="M388" s="5"/>
      <c r="N388" s="2" t="s">
        <v>1735</v>
      </c>
      <c r="O388" s="28" t="s">
        <v>2730</v>
      </c>
      <c r="P388" s="3"/>
      <c r="Q388" s="27">
        <v>2</v>
      </c>
      <c r="R388" s="3"/>
      <c r="S388" s="3">
        <v>2</v>
      </c>
      <c r="T388" s="3"/>
      <c r="U388" s="3">
        <v>9</v>
      </c>
      <c r="V388" s="3"/>
      <c r="W388" s="3"/>
      <c r="X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>
        <v>9</v>
      </c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>
        <v>3</v>
      </c>
      <c r="BN388" s="3">
        <v>4</v>
      </c>
      <c r="BO388" s="3"/>
      <c r="BP388" s="3">
        <v>0</v>
      </c>
      <c r="BQ388" s="3"/>
      <c r="BR388" s="3">
        <v>3</v>
      </c>
      <c r="BS388" s="3">
        <v>8</v>
      </c>
      <c r="BT388" s="19">
        <v>7</v>
      </c>
      <c r="BU388" s="3"/>
      <c r="BV388" s="19">
        <v>3</v>
      </c>
      <c r="BW388" s="19">
        <v>5</v>
      </c>
      <c r="BX388" s="19">
        <v>7</v>
      </c>
      <c r="BY388" s="19">
        <v>4</v>
      </c>
      <c r="BZ388" s="3">
        <v>8</v>
      </c>
      <c r="CA388" s="19">
        <v>6</v>
      </c>
      <c r="CB388" s="3"/>
      <c r="CC388" s="3"/>
      <c r="CD388" s="3"/>
      <c r="CE388" s="19">
        <v>6</v>
      </c>
      <c r="CF388" s="3"/>
      <c r="CG388" s="19">
        <v>5</v>
      </c>
      <c r="CH388" s="3"/>
      <c r="CI388" s="3">
        <v>7</v>
      </c>
      <c r="CJ388" s="3">
        <v>4</v>
      </c>
      <c r="CK388" s="3">
        <v>7</v>
      </c>
      <c r="CL388" s="3">
        <v>6</v>
      </c>
      <c r="CM388" s="3"/>
      <c r="CN388" s="3"/>
      <c r="CO388" s="3"/>
      <c r="CP388" s="3"/>
      <c r="CT388" s="3"/>
      <c r="CU388" s="3">
        <v>7</v>
      </c>
      <c r="CV388" s="3">
        <v>7</v>
      </c>
      <c r="CW388" s="3">
        <v>9</v>
      </c>
      <c r="CX388" s="3">
        <v>9</v>
      </c>
      <c r="CY388" s="3">
        <v>1</v>
      </c>
      <c r="CZ388" s="3">
        <v>1</v>
      </c>
      <c r="DA388" s="3">
        <v>9</v>
      </c>
      <c r="DB388" s="3">
        <v>7</v>
      </c>
      <c r="DC388" s="3">
        <v>1</v>
      </c>
      <c r="DD388" s="3">
        <v>1</v>
      </c>
      <c r="DE388" s="3">
        <v>3</v>
      </c>
      <c r="DF388" s="3"/>
      <c r="DG388" s="3"/>
      <c r="DH388" s="3"/>
      <c r="DI388" s="3"/>
      <c r="DJ388" s="3"/>
      <c r="DK388" s="3"/>
      <c r="DL388" s="3">
        <v>2</v>
      </c>
      <c r="DM388" s="3">
        <v>4</v>
      </c>
      <c r="DN388" s="3"/>
      <c r="DO388" s="3"/>
      <c r="DP388" s="3"/>
      <c r="DR388" s="3"/>
    </row>
    <row r="389" spans="1:142" ht="15" customHeight="1" x14ac:dyDescent="0.25">
      <c r="A389" s="6" t="s">
        <v>528</v>
      </c>
      <c r="B389" s="2" t="s">
        <v>784</v>
      </c>
      <c r="C389" s="2" t="s">
        <v>1736</v>
      </c>
      <c r="D389" s="25" t="s">
        <v>1706</v>
      </c>
      <c r="E389" s="4" t="s">
        <v>1190</v>
      </c>
      <c r="F389" s="5"/>
      <c r="G389" s="29"/>
      <c r="H389" s="5"/>
      <c r="I389" s="5"/>
      <c r="J389" s="5"/>
      <c r="M389" s="5"/>
      <c r="N389" s="2" t="s">
        <v>1737</v>
      </c>
      <c r="O389" s="28" t="s">
        <v>2731</v>
      </c>
      <c r="P389" s="3"/>
      <c r="Q389" s="27">
        <v>2</v>
      </c>
      <c r="R389" s="3"/>
      <c r="S389" s="3"/>
      <c r="T389" s="3">
        <v>3</v>
      </c>
      <c r="U389" s="3">
        <v>1</v>
      </c>
      <c r="V389" s="3"/>
      <c r="W389" s="3">
        <v>7</v>
      </c>
      <c r="X389" s="3"/>
      <c r="Z389" s="3"/>
      <c r="AA389" s="3"/>
      <c r="AB389" s="3">
        <v>2</v>
      </c>
      <c r="AC389" s="3">
        <v>4</v>
      </c>
      <c r="AD389" s="3"/>
      <c r="AE389" s="3"/>
      <c r="AF389" s="3">
        <v>5</v>
      </c>
      <c r="AG389" s="3">
        <v>1</v>
      </c>
      <c r="AH389" s="3">
        <v>1</v>
      </c>
      <c r="AI389" s="3">
        <v>9</v>
      </c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>
        <v>9</v>
      </c>
      <c r="AX389" s="3"/>
      <c r="AY389" s="3">
        <v>9</v>
      </c>
      <c r="AZ389" s="3"/>
      <c r="BA389" s="3"/>
      <c r="BB389" s="3">
        <v>9</v>
      </c>
      <c r="BC389" s="3"/>
      <c r="BD389" s="3"/>
      <c r="BE389" s="3"/>
      <c r="BF389" s="3"/>
      <c r="BG389" s="3">
        <v>7</v>
      </c>
      <c r="BH389" s="3"/>
      <c r="BI389" s="3"/>
      <c r="BJ389" s="3"/>
      <c r="BK389" s="3"/>
      <c r="BL389" s="3"/>
      <c r="BM389" s="3"/>
      <c r="BN389" s="3"/>
      <c r="BO389" s="3"/>
      <c r="BP389" s="3">
        <v>1</v>
      </c>
      <c r="BQ389" s="3"/>
      <c r="BR389" s="3"/>
      <c r="BS389" s="3">
        <v>9</v>
      </c>
      <c r="BT389" s="19">
        <v>8</v>
      </c>
      <c r="BU389" s="3">
        <v>5</v>
      </c>
      <c r="BV389" s="19">
        <v>9</v>
      </c>
      <c r="BW389" s="19">
        <v>3</v>
      </c>
      <c r="BX389" s="19">
        <v>9</v>
      </c>
      <c r="BY389" s="19">
        <v>7</v>
      </c>
      <c r="BZ389" s="19">
        <v>9</v>
      </c>
      <c r="CA389" s="19">
        <v>7</v>
      </c>
      <c r="CB389" s="19">
        <v>9</v>
      </c>
      <c r="CC389" s="3"/>
      <c r="CD389" s="3">
        <v>7</v>
      </c>
      <c r="CE389" s="19">
        <v>9</v>
      </c>
      <c r="CF389" s="3">
        <v>7</v>
      </c>
      <c r="CG389" s="19">
        <v>7</v>
      </c>
      <c r="CH389" s="3">
        <v>7</v>
      </c>
      <c r="CI389" s="3">
        <v>9</v>
      </c>
      <c r="CJ389" s="3">
        <v>6</v>
      </c>
      <c r="CK389" s="3">
        <v>3</v>
      </c>
      <c r="CL389" s="3">
        <v>8</v>
      </c>
      <c r="CM389" s="19">
        <v>1</v>
      </c>
      <c r="CN389" s="3"/>
      <c r="CO389" s="3"/>
      <c r="CP389" s="3"/>
      <c r="CT389" s="3">
        <v>9</v>
      </c>
      <c r="CU389" s="3">
        <v>9</v>
      </c>
      <c r="CV389" s="3">
        <v>9</v>
      </c>
      <c r="CW389" s="3"/>
      <c r="CX389" s="3">
        <v>3</v>
      </c>
      <c r="CY389" s="3">
        <v>1</v>
      </c>
      <c r="CZ389" s="3">
        <v>3</v>
      </c>
      <c r="DA389" s="3">
        <v>3</v>
      </c>
      <c r="DB389" s="3">
        <v>7</v>
      </c>
      <c r="DC389" s="3">
        <v>3</v>
      </c>
      <c r="DD389" s="3">
        <v>3</v>
      </c>
      <c r="DE389" s="3">
        <v>3</v>
      </c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R389" s="3"/>
    </row>
    <row r="390" spans="1:142" ht="15" customHeight="1" x14ac:dyDescent="0.25">
      <c r="A390" s="6" t="s">
        <v>529</v>
      </c>
      <c r="B390" s="2" t="s">
        <v>784</v>
      </c>
      <c r="C390" s="2" t="s">
        <v>1738</v>
      </c>
      <c r="D390" s="25" t="s">
        <v>1706</v>
      </c>
      <c r="E390" s="4" t="s">
        <v>1190</v>
      </c>
      <c r="F390" s="4" t="s">
        <v>854</v>
      </c>
      <c r="G390" s="29"/>
      <c r="H390" s="5"/>
      <c r="I390" s="5"/>
      <c r="J390" s="5"/>
      <c r="M390" s="4" t="s">
        <v>1739</v>
      </c>
      <c r="N390" s="2" t="s">
        <v>1740</v>
      </c>
      <c r="O390" s="28" t="s">
        <v>2732</v>
      </c>
      <c r="P390" s="3"/>
      <c r="Q390" s="27">
        <v>2</v>
      </c>
      <c r="R390" s="3"/>
      <c r="S390" s="3"/>
      <c r="T390" s="3"/>
      <c r="U390" s="3"/>
      <c r="V390" s="3"/>
      <c r="W390" s="3">
        <v>7</v>
      </c>
      <c r="X390" s="3"/>
      <c r="Z390" s="3"/>
      <c r="AA390" s="3"/>
      <c r="AB390" s="3">
        <v>2</v>
      </c>
      <c r="AC390" s="3">
        <v>4</v>
      </c>
      <c r="AD390" s="3"/>
      <c r="AE390" s="3"/>
      <c r="AF390" s="3">
        <v>3</v>
      </c>
      <c r="AG390" s="3">
        <v>1</v>
      </c>
      <c r="AH390" s="3">
        <v>3</v>
      </c>
      <c r="AI390" s="3">
        <v>9</v>
      </c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>
        <v>9</v>
      </c>
      <c r="AX390" s="3"/>
      <c r="AY390" s="3">
        <v>9</v>
      </c>
      <c r="AZ390" s="3"/>
      <c r="BA390" s="3"/>
      <c r="BB390" s="3">
        <v>9</v>
      </c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>
        <v>9</v>
      </c>
      <c r="BN390" s="3"/>
      <c r="BO390" s="3"/>
      <c r="BP390" s="3">
        <v>0</v>
      </c>
      <c r="BQ390" s="3">
        <v>3</v>
      </c>
      <c r="BR390" s="3">
        <v>1</v>
      </c>
      <c r="BS390" s="3">
        <v>2</v>
      </c>
      <c r="BT390" s="3">
        <v>1</v>
      </c>
      <c r="BU390" s="3"/>
      <c r="BV390" s="3"/>
      <c r="BW390" s="3">
        <v>1</v>
      </c>
      <c r="BX390" s="3">
        <v>1</v>
      </c>
      <c r="BY390" s="3">
        <v>1</v>
      </c>
      <c r="BZ390" s="3"/>
      <c r="CA390" s="3"/>
      <c r="CB390" s="3">
        <v>1</v>
      </c>
      <c r="CC390" s="3">
        <v>2</v>
      </c>
      <c r="CD390" s="3">
        <v>2</v>
      </c>
      <c r="CE390" s="19">
        <v>1</v>
      </c>
      <c r="CF390" s="3">
        <v>1</v>
      </c>
      <c r="CG390" s="3"/>
      <c r="CH390" s="3">
        <v>1</v>
      </c>
      <c r="CI390" s="3">
        <v>1</v>
      </c>
      <c r="CJ390" s="3">
        <v>1</v>
      </c>
      <c r="CK390" s="3">
        <v>1</v>
      </c>
      <c r="CL390" s="3">
        <v>1</v>
      </c>
      <c r="CM390" s="19">
        <v>1</v>
      </c>
      <c r="CN390" s="3"/>
      <c r="CO390" s="3"/>
      <c r="CP390" s="3"/>
      <c r="CT390" s="3">
        <v>1</v>
      </c>
      <c r="CU390" s="3">
        <v>2</v>
      </c>
      <c r="CV390" s="3">
        <v>1</v>
      </c>
      <c r="CW390" s="3">
        <v>1</v>
      </c>
      <c r="CX390" s="3">
        <v>1</v>
      </c>
      <c r="CY390" s="3">
        <v>1</v>
      </c>
      <c r="CZ390" s="3">
        <v>1</v>
      </c>
      <c r="DA390" s="3">
        <v>1</v>
      </c>
      <c r="DB390" s="3">
        <v>3</v>
      </c>
      <c r="DC390" s="3">
        <v>1</v>
      </c>
      <c r="DD390" s="3">
        <v>1</v>
      </c>
      <c r="DE390" s="3">
        <v>3</v>
      </c>
      <c r="DF390" s="3">
        <v>1</v>
      </c>
      <c r="DG390" s="3">
        <v>1</v>
      </c>
      <c r="DH390" s="3">
        <v>9</v>
      </c>
      <c r="DI390" s="3">
        <v>1</v>
      </c>
      <c r="DJ390" s="3">
        <v>5</v>
      </c>
      <c r="DK390" s="3">
        <v>1</v>
      </c>
      <c r="DL390" s="3">
        <v>1</v>
      </c>
      <c r="DM390" s="3">
        <v>1</v>
      </c>
      <c r="DN390" s="3"/>
      <c r="DO390" s="3"/>
      <c r="DP390" s="3"/>
      <c r="DR390" s="3"/>
      <c r="DX390" s="3"/>
    </row>
    <row r="391" spans="1:142" ht="15" customHeight="1" x14ac:dyDescent="0.25">
      <c r="A391" s="6" t="s">
        <v>530</v>
      </c>
      <c r="B391" s="2" t="s">
        <v>784</v>
      </c>
      <c r="C391" s="2" t="s">
        <v>1741</v>
      </c>
      <c r="D391" s="25" t="s">
        <v>1706</v>
      </c>
      <c r="E391" s="4" t="s">
        <v>1190</v>
      </c>
      <c r="F391" s="5"/>
      <c r="G391" s="29"/>
      <c r="H391" s="5"/>
      <c r="I391" s="5"/>
      <c r="J391" s="5"/>
      <c r="M391" s="5"/>
      <c r="N391" s="2" t="s">
        <v>1742</v>
      </c>
      <c r="O391" s="28" t="s">
        <v>2733</v>
      </c>
      <c r="P391" s="3"/>
      <c r="Q391" s="27">
        <v>2</v>
      </c>
      <c r="R391" s="19">
        <v>4</v>
      </c>
      <c r="S391" s="3"/>
      <c r="T391" s="3"/>
      <c r="U391" s="3">
        <v>1</v>
      </c>
      <c r="V391" s="3"/>
      <c r="W391" s="3">
        <v>3</v>
      </c>
      <c r="X391" s="3"/>
      <c r="Z391" s="3"/>
      <c r="AA391" s="3"/>
      <c r="AB391" s="3">
        <v>2</v>
      </c>
      <c r="AC391" s="3">
        <v>3</v>
      </c>
      <c r="AD391" s="3"/>
      <c r="AE391" s="3"/>
      <c r="AF391" s="3"/>
      <c r="AG391" s="3">
        <v>1</v>
      </c>
      <c r="AH391" s="3">
        <v>2</v>
      </c>
      <c r="AI391" s="3">
        <v>9</v>
      </c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>
        <v>9</v>
      </c>
      <c r="AZ391" s="3"/>
      <c r="BA391" s="3"/>
      <c r="BB391" s="3">
        <v>1</v>
      </c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>
        <v>7</v>
      </c>
      <c r="BN391" s="3"/>
      <c r="BO391" s="3"/>
      <c r="BP391" s="3">
        <v>0</v>
      </c>
      <c r="BQ391" s="3">
        <v>4</v>
      </c>
      <c r="BR391" s="3">
        <v>1</v>
      </c>
      <c r="BS391" s="3">
        <v>5</v>
      </c>
      <c r="BT391" s="3">
        <v>3</v>
      </c>
      <c r="BU391" s="3">
        <v>2</v>
      </c>
      <c r="BV391" s="3">
        <v>2</v>
      </c>
      <c r="BW391" s="3">
        <v>2</v>
      </c>
      <c r="BX391" s="3">
        <v>3</v>
      </c>
      <c r="BY391" s="3">
        <v>1</v>
      </c>
      <c r="BZ391" s="3">
        <v>3</v>
      </c>
      <c r="CA391" s="3">
        <v>3</v>
      </c>
      <c r="CB391" s="3">
        <v>1</v>
      </c>
      <c r="CC391" s="3">
        <v>2</v>
      </c>
      <c r="CD391" s="3">
        <v>3</v>
      </c>
      <c r="CE391" s="19">
        <v>4</v>
      </c>
      <c r="CF391" s="3">
        <v>4</v>
      </c>
      <c r="CG391" s="19">
        <v>1</v>
      </c>
      <c r="CH391" s="3">
        <v>3</v>
      </c>
      <c r="CI391" s="3">
        <v>3</v>
      </c>
      <c r="CJ391" s="3">
        <v>3</v>
      </c>
      <c r="CK391" s="3">
        <v>3</v>
      </c>
      <c r="CL391" s="3">
        <v>3</v>
      </c>
      <c r="CM391" s="3"/>
      <c r="CN391" s="3"/>
      <c r="CO391" s="3"/>
      <c r="CP391" s="3"/>
      <c r="CT391" s="3">
        <v>3</v>
      </c>
      <c r="CU391" s="3">
        <v>2</v>
      </c>
      <c r="CV391" s="3">
        <v>6</v>
      </c>
      <c r="CW391" s="3">
        <v>6</v>
      </c>
      <c r="CX391" s="3">
        <v>3</v>
      </c>
      <c r="CY391" s="3">
        <v>1</v>
      </c>
      <c r="CZ391" s="3">
        <v>1</v>
      </c>
      <c r="DA391" s="3">
        <v>1</v>
      </c>
      <c r="DB391" s="3">
        <v>3</v>
      </c>
      <c r="DC391" s="3">
        <v>1</v>
      </c>
      <c r="DD391" s="3">
        <v>1</v>
      </c>
      <c r="DE391" s="3">
        <v>3</v>
      </c>
      <c r="DF391" s="3">
        <v>5</v>
      </c>
      <c r="DG391" s="3">
        <v>9</v>
      </c>
      <c r="DH391" s="3">
        <v>5</v>
      </c>
      <c r="DI391" s="3">
        <v>5</v>
      </c>
      <c r="DJ391" s="3">
        <v>5</v>
      </c>
      <c r="DK391" s="3">
        <v>1</v>
      </c>
      <c r="DL391" s="3"/>
      <c r="DM391" s="3"/>
      <c r="DN391" s="3"/>
      <c r="DO391" s="3"/>
      <c r="DP391" s="3"/>
      <c r="DR391" s="3"/>
    </row>
    <row r="392" spans="1:142" ht="15" customHeight="1" x14ac:dyDescent="0.25">
      <c r="A392" s="6" t="s">
        <v>531</v>
      </c>
      <c r="B392" s="2" t="s">
        <v>784</v>
      </c>
      <c r="C392" s="2" t="s">
        <v>1743</v>
      </c>
      <c r="D392" s="25" t="s">
        <v>1706</v>
      </c>
      <c r="E392" s="4" t="s">
        <v>1190</v>
      </c>
      <c r="F392" s="4" t="s">
        <v>1074</v>
      </c>
      <c r="G392" s="26">
        <v>1977</v>
      </c>
      <c r="H392" s="5"/>
      <c r="I392" s="5"/>
      <c r="J392" s="5"/>
      <c r="M392" s="4" t="s">
        <v>1744</v>
      </c>
      <c r="N392" s="2" t="s">
        <v>1745</v>
      </c>
      <c r="O392" s="28" t="s">
        <v>2734</v>
      </c>
      <c r="P392" s="3"/>
      <c r="Q392" s="27">
        <v>2</v>
      </c>
      <c r="R392" s="3"/>
      <c r="S392" s="3">
        <v>1</v>
      </c>
      <c r="T392" s="3">
        <v>3</v>
      </c>
      <c r="U392" s="3"/>
      <c r="V392" s="3"/>
      <c r="W392" s="3">
        <v>3</v>
      </c>
      <c r="X392" s="3"/>
      <c r="Z392" s="3"/>
      <c r="AA392" s="3"/>
      <c r="AB392" s="3">
        <v>2</v>
      </c>
      <c r="AC392" s="3">
        <v>4</v>
      </c>
      <c r="AD392" s="3"/>
      <c r="AE392" s="3"/>
      <c r="AF392" s="3">
        <v>7</v>
      </c>
      <c r="AG392" s="3">
        <v>1</v>
      </c>
      <c r="AH392" s="3">
        <v>2</v>
      </c>
      <c r="AI392" s="3">
        <v>9</v>
      </c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>
        <v>9</v>
      </c>
      <c r="AX392" s="3"/>
      <c r="AY392" s="3">
        <v>1</v>
      </c>
      <c r="AZ392" s="3"/>
      <c r="BA392" s="3"/>
      <c r="BB392" s="3">
        <v>9</v>
      </c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>
        <v>4</v>
      </c>
      <c r="BN392" s="3"/>
      <c r="BO392" s="3"/>
      <c r="BP392" s="3">
        <v>1</v>
      </c>
      <c r="BQ392" s="3">
        <v>4</v>
      </c>
      <c r="BR392" s="3">
        <v>1</v>
      </c>
      <c r="BS392" s="3">
        <v>5</v>
      </c>
      <c r="BT392" s="3">
        <v>2</v>
      </c>
      <c r="BU392" s="3">
        <v>3</v>
      </c>
      <c r="BV392" s="3">
        <v>3</v>
      </c>
      <c r="BW392" s="3">
        <v>1</v>
      </c>
      <c r="BX392" s="3">
        <v>3</v>
      </c>
      <c r="BY392" s="3">
        <v>3</v>
      </c>
      <c r="BZ392" s="3">
        <v>2</v>
      </c>
      <c r="CA392" s="3"/>
      <c r="CB392" s="3">
        <v>3</v>
      </c>
      <c r="CC392" s="3">
        <v>3</v>
      </c>
      <c r="CD392" s="3">
        <v>2</v>
      </c>
      <c r="CE392" s="19">
        <v>5</v>
      </c>
      <c r="CF392" s="3">
        <v>3</v>
      </c>
      <c r="CG392" s="19">
        <v>2</v>
      </c>
      <c r="CH392" s="3">
        <v>3</v>
      </c>
      <c r="CI392" s="3">
        <v>7</v>
      </c>
      <c r="CJ392" s="3">
        <v>6</v>
      </c>
      <c r="CK392" s="3">
        <v>2</v>
      </c>
      <c r="CL392" s="3"/>
      <c r="CM392" s="3">
        <v>1</v>
      </c>
      <c r="CN392" s="3">
        <v>1</v>
      </c>
      <c r="CO392" s="3">
        <v>6</v>
      </c>
      <c r="CP392" s="3">
        <v>7</v>
      </c>
      <c r="CT392" s="3">
        <v>5</v>
      </c>
      <c r="CU392" s="3">
        <v>3</v>
      </c>
      <c r="CV392" s="3">
        <v>5</v>
      </c>
      <c r="CW392" s="3">
        <v>3</v>
      </c>
      <c r="CX392" s="3">
        <v>3</v>
      </c>
      <c r="CY392" s="3">
        <v>1</v>
      </c>
      <c r="CZ392" s="3">
        <v>1</v>
      </c>
      <c r="DA392" s="3">
        <v>1</v>
      </c>
      <c r="DB392" s="3">
        <v>3</v>
      </c>
      <c r="DC392" s="3">
        <v>1</v>
      </c>
      <c r="DD392" s="3">
        <v>1</v>
      </c>
      <c r="DE392" s="3">
        <v>3</v>
      </c>
      <c r="DF392" s="3">
        <v>9</v>
      </c>
      <c r="DG392" s="3">
        <v>9</v>
      </c>
      <c r="DH392" s="3">
        <v>5</v>
      </c>
      <c r="DI392" s="3">
        <v>5</v>
      </c>
      <c r="DJ392" s="3">
        <v>5</v>
      </c>
      <c r="DK392" s="3">
        <v>1</v>
      </c>
      <c r="DL392" s="3">
        <v>1</v>
      </c>
      <c r="DM392" s="3">
        <v>4</v>
      </c>
      <c r="DN392" s="3"/>
      <c r="DO392" s="3"/>
      <c r="DP392" s="3"/>
      <c r="DR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</row>
    <row r="393" spans="1:142" ht="15" customHeight="1" x14ac:dyDescent="0.25">
      <c r="A393" s="6" t="s">
        <v>532</v>
      </c>
      <c r="B393" s="2" t="s">
        <v>784</v>
      </c>
      <c r="C393" s="2" t="s">
        <v>1746</v>
      </c>
      <c r="D393" s="25" t="s">
        <v>1706</v>
      </c>
      <c r="E393" s="4" t="s">
        <v>1190</v>
      </c>
      <c r="F393" s="4" t="s">
        <v>809</v>
      </c>
      <c r="G393" s="29"/>
      <c r="H393" s="5"/>
      <c r="I393" s="5"/>
      <c r="J393" s="5"/>
      <c r="M393" s="5"/>
      <c r="N393" s="2" t="s">
        <v>1747</v>
      </c>
      <c r="O393" s="28" t="s">
        <v>2735</v>
      </c>
      <c r="P393" s="3"/>
      <c r="Q393" s="27">
        <v>2</v>
      </c>
      <c r="R393" s="3"/>
      <c r="S393" s="3">
        <v>2</v>
      </c>
      <c r="T393" s="3"/>
      <c r="U393" s="3">
        <v>1</v>
      </c>
      <c r="V393" s="3"/>
      <c r="W393" s="3">
        <v>3</v>
      </c>
      <c r="X393" s="3"/>
      <c r="Z393" s="3"/>
      <c r="AA393" s="3"/>
      <c r="AB393" s="3"/>
      <c r="AC393" s="3">
        <v>3</v>
      </c>
      <c r="AD393" s="3"/>
      <c r="AE393" s="3"/>
      <c r="AF393" s="3">
        <v>1</v>
      </c>
      <c r="AG393" s="3"/>
      <c r="AH393" s="3"/>
      <c r="AI393" s="3">
        <v>9</v>
      </c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>
        <v>1</v>
      </c>
      <c r="AX393" s="3"/>
      <c r="AY393" s="3">
        <v>9</v>
      </c>
      <c r="AZ393" s="3"/>
      <c r="BA393" s="3">
        <v>1</v>
      </c>
      <c r="BB393" s="3">
        <v>1</v>
      </c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>
        <v>1</v>
      </c>
      <c r="BN393" s="3"/>
      <c r="BO393" s="3"/>
      <c r="BP393" s="3"/>
      <c r="BQ393" s="3">
        <v>1</v>
      </c>
      <c r="BR393" s="3">
        <v>1</v>
      </c>
      <c r="BS393" s="3">
        <v>1</v>
      </c>
      <c r="BT393" s="19">
        <v>1</v>
      </c>
      <c r="BU393" s="3">
        <v>1</v>
      </c>
      <c r="BV393" s="19">
        <v>1</v>
      </c>
      <c r="BW393" s="19">
        <v>1</v>
      </c>
      <c r="BX393" s="19">
        <v>1</v>
      </c>
      <c r="BY393" s="19">
        <v>1</v>
      </c>
      <c r="BZ393" s="19">
        <v>2</v>
      </c>
      <c r="CA393" s="19">
        <v>1</v>
      </c>
      <c r="CB393" s="19">
        <v>1</v>
      </c>
      <c r="CC393" s="19">
        <v>1</v>
      </c>
      <c r="CD393" s="3">
        <v>1</v>
      </c>
      <c r="CE393" s="19">
        <v>1</v>
      </c>
      <c r="CF393" s="3">
        <v>1</v>
      </c>
      <c r="CG393" s="19">
        <v>1</v>
      </c>
      <c r="CH393" s="3">
        <v>1</v>
      </c>
      <c r="CI393" s="3">
        <v>1</v>
      </c>
      <c r="CJ393" s="3">
        <v>1</v>
      </c>
      <c r="CK393" s="3">
        <v>3</v>
      </c>
      <c r="CL393" s="3">
        <v>1</v>
      </c>
      <c r="CM393" s="19">
        <v>1</v>
      </c>
      <c r="CN393" s="3"/>
      <c r="CO393" s="3"/>
      <c r="CP393" s="3"/>
      <c r="CT393" s="3">
        <v>1</v>
      </c>
      <c r="CU393" s="3">
        <v>1</v>
      </c>
      <c r="CV393" s="3">
        <v>1</v>
      </c>
      <c r="CW393" s="3">
        <v>1</v>
      </c>
      <c r="CX393" s="3">
        <v>1</v>
      </c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>
        <v>1</v>
      </c>
      <c r="DM393" s="3">
        <v>1</v>
      </c>
      <c r="DN393" s="3"/>
      <c r="DO393" s="3"/>
      <c r="DP393" s="3"/>
      <c r="DR393" s="3"/>
    </row>
    <row r="394" spans="1:142" ht="15" customHeight="1" x14ac:dyDescent="0.25">
      <c r="A394" s="6" t="s">
        <v>533</v>
      </c>
      <c r="B394" s="2" t="s">
        <v>784</v>
      </c>
      <c r="C394" s="2" t="s">
        <v>1748</v>
      </c>
      <c r="D394" s="25" t="s">
        <v>1706</v>
      </c>
      <c r="E394" s="4" t="s">
        <v>1190</v>
      </c>
      <c r="F394" s="4" t="s">
        <v>801</v>
      </c>
      <c r="G394" s="26">
        <v>1961</v>
      </c>
      <c r="H394" s="5"/>
      <c r="I394" s="5"/>
      <c r="J394" s="5"/>
      <c r="M394" s="4" t="s">
        <v>1749</v>
      </c>
      <c r="N394" s="2" t="s">
        <v>1750</v>
      </c>
      <c r="O394" s="28" t="s">
        <v>2736</v>
      </c>
      <c r="P394" s="3"/>
      <c r="Q394" s="27">
        <v>2</v>
      </c>
      <c r="R394" s="3"/>
      <c r="S394" s="3">
        <v>2</v>
      </c>
      <c r="T394" s="3"/>
      <c r="U394" s="3">
        <v>9</v>
      </c>
      <c r="V394" s="3"/>
      <c r="W394" s="3">
        <v>3</v>
      </c>
      <c r="X394" s="3"/>
      <c r="Z394" s="3"/>
      <c r="AA394" s="3"/>
      <c r="AB394" s="3">
        <v>1</v>
      </c>
      <c r="AC394" s="3">
        <v>4</v>
      </c>
      <c r="AD394" s="3"/>
      <c r="AE394" s="3"/>
      <c r="AF394" s="3">
        <v>1</v>
      </c>
      <c r="AG394" s="3"/>
      <c r="AH394" s="3"/>
      <c r="AI394" s="3">
        <v>1</v>
      </c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>
        <v>9</v>
      </c>
      <c r="AX394" s="3"/>
      <c r="AY394" s="3">
        <v>1</v>
      </c>
      <c r="AZ394" s="3"/>
      <c r="BA394" s="3">
        <v>1</v>
      </c>
      <c r="BB394" s="3">
        <v>9</v>
      </c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>
        <v>1</v>
      </c>
      <c r="BN394" s="3"/>
      <c r="BO394" s="3"/>
      <c r="BP394" s="3">
        <v>2</v>
      </c>
      <c r="BQ394" s="3"/>
      <c r="BR394" s="3"/>
      <c r="BS394" s="3"/>
      <c r="BT394" s="19">
        <v>7</v>
      </c>
      <c r="BU394" s="3"/>
      <c r="BV394" s="19">
        <v>3</v>
      </c>
      <c r="BW394" s="19">
        <v>5</v>
      </c>
      <c r="BX394" s="19">
        <v>7</v>
      </c>
      <c r="BY394" s="19">
        <v>2</v>
      </c>
      <c r="BZ394" s="19">
        <v>7</v>
      </c>
      <c r="CA394" s="19">
        <v>5</v>
      </c>
      <c r="CB394" s="19">
        <v>2</v>
      </c>
      <c r="CC394" s="3"/>
      <c r="CD394" s="3"/>
      <c r="CE394" s="19">
        <v>4</v>
      </c>
      <c r="CF394" s="3">
        <v>5</v>
      </c>
      <c r="CG394" s="19">
        <v>3</v>
      </c>
      <c r="CH394" s="3"/>
      <c r="CI394" s="3">
        <v>7</v>
      </c>
      <c r="CJ394" s="3">
        <v>2</v>
      </c>
      <c r="CK394" s="3">
        <v>7</v>
      </c>
      <c r="CL394" s="3"/>
      <c r="CM394" s="3"/>
      <c r="CN394" s="3"/>
      <c r="CO394" s="3"/>
      <c r="CP394" s="3"/>
      <c r="CT394" s="3">
        <v>5</v>
      </c>
      <c r="CU394" s="3">
        <v>2</v>
      </c>
      <c r="CV394" s="3">
        <v>7</v>
      </c>
      <c r="CW394" s="3">
        <v>6</v>
      </c>
      <c r="CX394" s="3">
        <v>7</v>
      </c>
      <c r="CY394" s="3">
        <v>1</v>
      </c>
      <c r="CZ394" s="3">
        <v>3</v>
      </c>
      <c r="DA394" s="3">
        <v>1</v>
      </c>
      <c r="DB394" s="3">
        <v>3</v>
      </c>
      <c r="DC394" s="3">
        <v>1</v>
      </c>
      <c r="DD394" s="3">
        <v>1</v>
      </c>
      <c r="DE394" s="3">
        <v>3</v>
      </c>
      <c r="DF394" s="3"/>
      <c r="DG394" s="3"/>
      <c r="DH394" s="3"/>
      <c r="DI394" s="3"/>
      <c r="DJ394" s="3"/>
      <c r="DK394" s="3"/>
      <c r="DL394" s="3">
        <v>3</v>
      </c>
      <c r="DM394" s="3">
        <v>5</v>
      </c>
      <c r="DN394" s="3"/>
      <c r="DO394" s="3"/>
      <c r="DP394" s="3"/>
      <c r="DR394" s="3"/>
    </row>
    <row r="395" spans="1:142" ht="15" customHeight="1" x14ac:dyDescent="0.25">
      <c r="A395" s="6" t="s">
        <v>534</v>
      </c>
      <c r="B395" s="2" t="s">
        <v>784</v>
      </c>
      <c r="C395" s="2" t="s">
        <v>1751</v>
      </c>
      <c r="D395" s="25" t="s">
        <v>1706</v>
      </c>
      <c r="E395" s="4" t="s">
        <v>1190</v>
      </c>
      <c r="F395" s="4" t="s">
        <v>1096</v>
      </c>
      <c r="G395" s="26">
        <v>1989</v>
      </c>
      <c r="H395" s="5"/>
      <c r="I395" s="5"/>
      <c r="J395" s="5"/>
      <c r="M395" s="5"/>
      <c r="N395" s="2" t="s">
        <v>1752</v>
      </c>
      <c r="O395" s="28" t="s">
        <v>2737</v>
      </c>
      <c r="P395" s="3"/>
      <c r="Q395" s="27">
        <v>2</v>
      </c>
      <c r="R395" s="3"/>
      <c r="S395" s="3">
        <v>2</v>
      </c>
      <c r="T395" s="3"/>
      <c r="U395" s="3"/>
      <c r="V395" s="3"/>
      <c r="W395" s="3">
        <v>3</v>
      </c>
      <c r="X395" s="3"/>
      <c r="Z395" s="3"/>
      <c r="AA395" s="3"/>
      <c r="AB395" s="3">
        <v>7</v>
      </c>
      <c r="AC395" s="3">
        <v>3</v>
      </c>
      <c r="AD395" s="3"/>
      <c r="AE395" s="3"/>
      <c r="AF395" s="3">
        <v>1</v>
      </c>
      <c r="AG395" s="3"/>
      <c r="AH395" s="3"/>
      <c r="AI395" s="3">
        <v>9</v>
      </c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>
        <v>1</v>
      </c>
      <c r="AX395" s="3"/>
      <c r="AY395" s="3">
        <v>9</v>
      </c>
      <c r="AZ395" s="3"/>
      <c r="BA395" s="3">
        <v>1</v>
      </c>
      <c r="BB395" s="3">
        <v>1</v>
      </c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>
        <v>1</v>
      </c>
      <c r="BN395" s="3"/>
      <c r="BO395" s="3"/>
      <c r="BP395" s="3"/>
      <c r="BQ395" s="3">
        <v>1</v>
      </c>
      <c r="BR395" s="3">
        <v>1</v>
      </c>
      <c r="BS395" s="3">
        <v>1</v>
      </c>
      <c r="BT395" s="19">
        <v>1</v>
      </c>
      <c r="BU395" s="3">
        <v>1</v>
      </c>
      <c r="BV395" s="19">
        <v>1</v>
      </c>
      <c r="BW395" s="19">
        <v>1</v>
      </c>
      <c r="BX395" s="19">
        <v>1</v>
      </c>
      <c r="BY395" s="19">
        <v>1</v>
      </c>
      <c r="BZ395" s="19">
        <v>1</v>
      </c>
      <c r="CA395" s="19">
        <v>1</v>
      </c>
      <c r="CB395" s="19">
        <v>1</v>
      </c>
      <c r="CC395" s="19">
        <v>1</v>
      </c>
      <c r="CD395" s="3">
        <v>1</v>
      </c>
      <c r="CE395" s="19">
        <v>1</v>
      </c>
      <c r="CF395" s="3">
        <v>1</v>
      </c>
      <c r="CG395" s="19">
        <v>1</v>
      </c>
      <c r="CH395" s="3">
        <v>1</v>
      </c>
      <c r="CI395" s="3">
        <v>1</v>
      </c>
      <c r="CJ395" s="3">
        <v>1</v>
      </c>
      <c r="CK395" s="3">
        <v>3</v>
      </c>
      <c r="CL395" s="3">
        <v>1</v>
      </c>
      <c r="CM395" s="19">
        <v>1</v>
      </c>
      <c r="CN395" s="3"/>
      <c r="CO395" s="3"/>
      <c r="CP395" s="3"/>
      <c r="CT395" s="3">
        <v>1</v>
      </c>
      <c r="CU395" s="3">
        <v>1</v>
      </c>
      <c r="CV395" s="3">
        <v>1</v>
      </c>
      <c r="CW395" s="3">
        <v>1</v>
      </c>
      <c r="CX395" s="3">
        <v>1</v>
      </c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>
        <v>1</v>
      </c>
      <c r="DM395" s="3">
        <v>1</v>
      </c>
      <c r="DN395" s="3">
        <v>1</v>
      </c>
      <c r="DO395" s="3"/>
      <c r="DP395" s="3"/>
      <c r="DR395" s="3"/>
    </row>
    <row r="396" spans="1:142" ht="15" customHeight="1" x14ac:dyDescent="0.25">
      <c r="A396" s="6" t="s">
        <v>535</v>
      </c>
      <c r="B396" s="2" t="s">
        <v>784</v>
      </c>
      <c r="C396" s="2" t="s">
        <v>1753</v>
      </c>
      <c r="D396" s="25" t="s">
        <v>1706</v>
      </c>
      <c r="E396" s="4" t="s">
        <v>1190</v>
      </c>
      <c r="F396" s="4" t="s">
        <v>1096</v>
      </c>
      <c r="G396" s="26">
        <v>1989</v>
      </c>
      <c r="H396" s="5"/>
      <c r="I396" s="5"/>
      <c r="J396" s="5"/>
      <c r="M396" s="4" t="s">
        <v>1754</v>
      </c>
      <c r="N396" s="2" t="s">
        <v>1755</v>
      </c>
      <c r="O396" s="28" t="s">
        <v>2738</v>
      </c>
      <c r="P396" s="3"/>
      <c r="Q396" s="27">
        <v>2</v>
      </c>
      <c r="R396" s="3"/>
      <c r="S396" s="3"/>
      <c r="T396" s="3"/>
      <c r="U396" s="3">
        <v>9</v>
      </c>
      <c r="V396" s="3"/>
      <c r="W396" s="3">
        <v>3</v>
      </c>
      <c r="X396" s="3"/>
      <c r="Z396" s="3"/>
      <c r="AA396" s="3"/>
      <c r="AB396" s="3">
        <v>7</v>
      </c>
      <c r="AC396" s="3">
        <v>3</v>
      </c>
      <c r="AD396" s="3"/>
      <c r="AE396" s="3"/>
      <c r="AF396" s="3">
        <v>1</v>
      </c>
      <c r="AG396" s="3"/>
      <c r="AH396" s="3"/>
      <c r="AI396" s="3">
        <v>9</v>
      </c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>
        <v>9</v>
      </c>
      <c r="AX396" s="3"/>
      <c r="AY396" s="3">
        <v>9</v>
      </c>
      <c r="AZ396" s="3"/>
      <c r="BA396" s="3">
        <v>1</v>
      </c>
      <c r="BB396" s="3">
        <v>9</v>
      </c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>
        <v>9</v>
      </c>
      <c r="BN396" s="3"/>
      <c r="BO396" s="3"/>
      <c r="BP396" s="3"/>
      <c r="BQ396" s="3">
        <v>5</v>
      </c>
      <c r="BR396" s="3">
        <v>1</v>
      </c>
      <c r="BS396" s="3">
        <v>1</v>
      </c>
      <c r="BT396" s="19">
        <v>1</v>
      </c>
      <c r="BU396" s="3">
        <v>1</v>
      </c>
      <c r="BV396" s="19">
        <v>2</v>
      </c>
      <c r="BW396" s="19">
        <v>3</v>
      </c>
      <c r="BX396" s="19">
        <v>1</v>
      </c>
      <c r="BY396" s="3"/>
      <c r="BZ396" s="19">
        <v>1</v>
      </c>
      <c r="CA396" s="19">
        <v>2</v>
      </c>
      <c r="CB396" s="19">
        <v>2</v>
      </c>
      <c r="CC396" s="19">
        <v>1</v>
      </c>
      <c r="CD396" s="3">
        <v>1</v>
      </c>
      <c r="CE396" s="3"/>
      <c r="CF396" s="3">
        <v>1</v>
      </c>
      <c r="CG396" s="3"/>
      <c r="CH396" s="3">
        <v>1</v>
      </c>
      <c r="CI396" s="3">
        <v>1</v>
      </c>
      <c r="CJ396" s="3">
        <v>1</v>
      </c>
      <c r="CK396" s="3">
        <v>5</v>
      </c>
      <c r="CL396" s="3">
        <v>1</v>
      </c>
      <c r="CM396" s="19">
        <v>1</v>
      </c>
      <c r="CN396" s="3"/>
      <c r="CO396" s="3"/>
      <c r="CP396" s="3"/>
      <c r="CT396" s="3">
        <v>1</v>
      </c>
      <c r="CU396" s="3">
        <v>2</v>
      </c>
      <c r="CV396" s="3">
        <v>1</v>
      </c>
      <c r="CW396" s="3">
        <v>1</v>
      </c>
      <c r="CX396" s="3">
        <v>3</v>
      </c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R396" s="3"/>
    </row>
    <row r="397" spans="1:142" ht="15" customHeight="1" x14ac:dyDescent="0.25">
      <c r="A397" s="6" t="s">
        <v>536</v>
      </c>
      <c r="B397" s="2" t="s">
        <v>784</v>
      </c>
      <c r="C397" s="2" t="s">
        <v>1756</v>
      </c>
      <c r="D397" s="25" t="s">
        <v>1706</v>
      </c>
      <c r="E397" s="4" t="s">
        <v>1190</v>
      </c>
      <c r="F397" s="4" t="s">
        <v>1096</v>
      </c>
      <c r="G397" s="26">
        <v>1989</v>
      </c>
      <c r="H397" s="5"/>
      <c r="I397" s="5"/>
      <c r="J397" s="5"/>
      <c r="M397" s="4" t="s">
        <v>1757</v>
      </c>
      <c r="N397" s="2" t="s">
        <v>1758</v>
      </c>
      <c r="O397" s="28" t="s">
        <v>2739</v>
      </c>
      <c r="P397" s="3"/>
      <c r="Q397" s="27">
        <v>2</v>
      </c>
      <c r="R397" s="3"/>
      <c r="S397" s="3"/>
      <c r="T397" s="3"/>
      <c r="U397" s="3">
        <v>9</v>
      </c>
      <c r="V397" s="3"/>
      <c r="W397" s="3">
        <v>3</v>
      </c>
      <c r="X397" s="3"/>
      <c r="Z397" s="3"/>
      <c r="AA397" s="3"/>
      <c r="AB397" s="3">
        <v>8</v>
      </c>
      <c r="AC397" s="3">
        <v>3</v>
      </c>
      <c r="AD397" s="3"/>
      <c r="AE397" s="3"/>
      <c r="AF397" s="3">
        <v>1</v>
      </c>
      <c r="AG397" s="3"/>
      <c r="AH397" s="3"/>
      <c r="AI397" s="3">
        <v>9</v>
      </c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>
        <v>9</v>
      </c>
      <c r="AX397" s="3"/>
      <c r="AY397" s="3">
        <v>9</v>
      </c>
      <c r="AZ397" s="3"/>
      <c r="BA397" s="3">
        <v>1</v>
      </c>
      <c r="BB397" s="3">
        <v>9</v>
      </c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>
        <v>9</v>
      </c>
      <c r="BN397" s="3">
        <v>4</v>
      </c>
      <c r="BO397" s="3"/>
      <c r="BP397" s="3"/>
      <c r="BQ397" s="3">
        <v>1</v>
      </c>
      <c r="BR397" s="3">
        <v>1</v>
      </c>
      <c r="BS397" s="3">
        <v>2</v>
      </c>
      <c r="BT397" s="19">
        <v>1</v>
      </c>
      <c r="BU397" s="3">
        <v>1</v>
      </c>
      <c r="BV397" s="19">
        <v>1</v>
      </c>
      <c r="BW397" s="19">
        <v>2</v>
      </c>
      <c r="BX397" s="19">
        <v>1</v>
      </c>
      <c r="BY397" s="19">
        <v>1</v>
      </c>
      <c r="BZ397" s="19">
        <v>5</v>
      </c>
      <c r="CA397" s="19">
        <v>2</v>
      </c>
      <c r="CB397" s="19">
        <v>2</v>
      </c>
      <c r="CC397" s="19">
        <v>2</v>
      </c>
      <c r="CD397" s="3">
        <v>2</v>
      </c>
      <c r="CE397" s="19">
        <v>1</v>
      </c>
      <c r="CF397" s="3">
        <v>1</v>
      </c>
      <c r="CG397" s="19">
        <v>3</v>
      </c>
      <c r="CH397" s="3">
        <v>1</v>
      </c>
      <c r="CI397" s="3">
        <v>1</v>
      </c>
      <c r="CJ397" s="3">
        <v>1</v>
      </c>
      <c r="CK397" s="3">
        <v>3</v>
      </c>
      <c r="CL397" s="3">
        <v>2</v>
      </c>
      <c r="CM397" s="3"/>
      <c r="CN397" s="3"/>
      <c r="CO397" s="3"/>
      <c r="CP397" s="3"/>
      <c r="CT397" s="3">
        <v>1</v>
      </c>
      <c r="CU397" s="3">
        <v>3</v>
      </c>
      <c r="CV397" s="3">
        <v>1</v>
      </c>
      <c r="CW397" s="3">
        <v>1</v>
      </c>
      <c r="CX397" s="3">
        <v>1</v>
      </c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19">
        <v>1</v>
      </c>
      <c r="DR397" s="3"/>
    </row>
    <row r="398" spans="1:142" ht="15" customHeight="1" x14ac:dyDescent="0.25">
      <c r="A398" s="6" t="s">
        <v>537</v>
      </c>
      <c r="B398" s="2" t="s">
        <v>784</v>
      </c>
      <c r="C398" s="2" t="s">
        <v>1759</v>
      </c>
      <c r="D398" s="25" t="s">
        <v>1706</v>
      </c>
      <c r="E398" s="4" t="s">
        <v>1190</v>
      </c>
      <c r="F398" s="4" t="s">
        <v>1160</v>
      </c>
      <c r="G398" s="26">
        <v>1989</v>
      </c>
      <c r="H398" s="5"/>
      <c r="I398" s="5"/>
      <c r="J398" s="5"/>
      <c r="M398" s="5"/>
      <c r="N398" s="2" t="s">
        <v>1760</v>
      </c>
      <c r="O398" s="28" t="s">
        <v>2740</v>
      </c>
      <c r="P398" s="3"/>
      <c r="Q398" s="27">
        <v>2</v>
      </c>
      <c r="R398" s="3"/>
      <c r="S398" s="3">
        <v>1</v>
      </c>
      <c r="T398" s="3"/>
      <c r="U398" s="3">
        <v>9</v>
      </c>
      <c r="V398" s="3"/>
      <c r="W398" s="3">
        <v>3</v>
      </c>
      <c r="X398" s="3"/>
      <c r="Z398" s="3"/>
      <c r="AA398" s="3"/>
      <c r="AB398" s="3">
        <v>8</v>
      </c>
      <c r="AC398" s="3">
        <v>4</v>
      </c>
      <c r="AD398" s="3"/>
      <c r="AE398" s="3"/>
      <c r="AF398" s="3">
        <v>1</v>
      </c>
      <c r="AG398" s="3"/>
      <c r="AH398" s="3"/>
      <c r="AI398" s="3">
        <v>9</v>
      </c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>
        <v>9</v>
      </c>
      <c r="AX398" s="3"/>
      <c r="AY398" s="3">
        <v>9</v>
      </c>
      <c r="AZ398" s="3"/>
      <c r="BA398" s="3">
        <v>1</v>
      </c>
      <c r="BB398" s="3">
        <v>9</v>
      </c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>
        <v>9</v>
      </c>
      <c r="BN398" s="3"/>
      <c r="BO398" s="3"/>
      <c r="BP398" s="3"/>
      <c r="BQ398" s="3">
        <v>2</v>
      </c>
      <c r="BR398" s="3">
        <v>1</v>
      </c>
      <c r="BS398" s="3">
        <v>1</v>
      </c>
      <c r="BT398" s="19">
        <v>1</v>
      </c>
      <c r="BU398" s="3">
        <v>1</v>
      </c>
      <c r="BV398" s="19">
        <v>1</v>
      </c>
      <c r="BW398" s="19">
        <v>1</v>
      </c>
      <c r="BX398" s="19">
        <v>1</v>
      </c>
      <c r="BY398" s="19">
        <v>1</v>
      </c>
      <c r="BZ398" s="19">
        <v>2</v>
      </c>
      <c r="CA398" s="19">
        <v>1</v>
      </c>
      <c r="CB398" s="19">
        <v>1</v>
      </c>
      <c r="CC398" s="19">
        <v>1</v>
      </c>
      <c r="CD398" s="3">
        <v>2</v>
      </c>
      <c r="CE398" s="19">
        <v>2</v>
      </c>
      <c r="CF398" s="3">
        <v>1</v>
      </c>
      <c r="CG398" s="19">
        <v>1</v>
      </c>
      <c r="CH398" s="3">
        <v>1</v>
      </c>
      <c r="CI398" s="3">
        <v>2</v>
      </c>
      <c r="CJ398" s="3">
        <v>1</v>
      </c>
      <c r="CK398" s="3">
        <v>1</v>
      </c>
      <c r="CL398" s="3">
        <v>2</v>
      </c>
      <c r="CM398" s="3"/>
      <c r="CN398" s="3"/>
      <c r="CO398" s="3"/>
      <c r="CP398" s="3"/>
      <c r="CT398" s="3">
        <v>1</v>
      </c>
      <c r="CU398" s="3">
        <v>3</v>
      </c>
      <c r="CV398" s="3">
        <v>1</v>
      </c>
      <c r="CW398" s="3">
        <v>1</v>
      </c>
      <c r="CX398" s="3">
        <v>1</v>
      </c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>
        <v>1</v>
      </c>
      <c r="DM398" s="3">
        <v>1</v>
      </c>
      <c r="DN398" s="3"/>
      <c r="DO398" s="3"/>
      <c r="DP398" s="3"/>
      <c r="DR398" s="3"/>
    </row>
    <row r="399" spans="1:142" ht="15" customHeight="1" x14ac:dyDescent="0.25">
      <c r="A399" s="6" t="s">
        <v>538</v>
      </c>
      <c r="B399" s="2" t="s">
        <v>784</v>
      </c>
      <c r="C399" s="2" t="s">
        <v>1761</v>
      </c>
      <c r="D399" s="25" t="s">
        <v>1706</v>
      </c>
      <c r="E399" s="4" t="s">
        <v>1190</v>
      </c>
      <c r="F399" s="4" t="s">
        <v>793</v>
      </c>
      <c r="G399" s="26">
        <v>1989</v>
      </c>
      <c r="H399" s="5"/>
      <c r="I399" s="5"/>
      <c r="J399" s="5"/>
      <c r="M399" s="5" t="s">
        <v>1762</v>
      </c>
      <c r="N399" s="2" t="s">
        <v>1763</v>
      </c>
      <c r="O399" s="28" t="s">
        <v>2741</v>
      </c>
      <c r="P399" s="3"/>
      <c r="Q399" s="27">
        <v>2</v>
      </c>
      <c r="R399" s="3"/>
      <c r="S399" s="3">
        <v>2</v>
      </c>
      <c r="T399" s="3"/>
      <c r="U399" s="3"/>
      <c r="V399" s="3"/>
      <c r="W399" s="3">
        <v>3</v>
      </c>
      <c r="X399" s="3"/>
      <c r="Z399" s="3"/>
      <c r="AA399" s="3"/>
      <c r="AB399" s="3">
        <v>7</v>
      </c>
      <c r="AC399" s="3">
        <v>3</v>
      </c>
      <c r="AD399" s="3"/>
      <c r="AE399" s="3"/>
      <c r="AF399" s="3">
        <v>1</v>
      </c>
      <c r="AG399" s="3"/>
      <c r="AH399" s="3"/>
      <c r="AI399" s="3">
        <v>9</v>
      </c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>
        <v>9</v>
      </c>
      <c r="AX399" s="3"/>
      <c r="AY399" s="3">
        <v>9</v>
      </c>
      <c r="AZ399" s="3"/>
      <c r="BA399" s="3">
        <v>1</v>
      </c>
      <c r="BB399" s="3">
        <v>9</v>
      </c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>
        <v>1</v>
      </c>
      <c r="BN399" s="3"/>
      <c r="BO399" s="3"/>
      <c r="BP399" s="3"/>
      <c r="BQ399" s="3"/>
      <c r="BR399" s="3">
        <v>1</v>
      </c>
      <c r="BS399" s="3">
        <v>1</v>
      </c>
      <c r="BT399" s="19">
        <v>1</v>
      </c>
      <c r="BU399" s="3">
        <v>1</v>
      </c>
      <c r="BV399" s="19">
        <v>2</v>
      </c>
      <c r="BW399" s="19">
        <v>1</v>
      </c>
      <c r="BX399" s="19">
        <v>1</v>
      </c>
      <c r="BY399" s="3"/>
      <c r="BZ399" s="19">
        <v>1</v>
      </c>
      <c r="CA399" s="19">
        <v>1</v>
      </c>
      <c r="CB399" s="19">
        <v>1</v>
      </c>
      <c r="CC399" s="19">
        <v>1</v>
      </c>
      <c r="CD399" s="3">
        <v>1</v>
      </c>
      <c r="CE399" s="19">
        <v>1</v>
      </c>
      <c r="CF399" s="3">
        <v>1</v>
      </c>
      <c r="CG399" s="3"/>
      <c r="CH399" s="3">
        <v>1</v>
      </c>
      <c r="CI399" s="3">
        <v>1</v>
      </c>
      <c r="CJ399" s="3">
        <v>1</v>
      </c>
      <c r="CK399" s="3">
        <v>1</v>
      </c>
      <c r="CL399" s="3">
        <v>1</v>
      </c>
      <c r="CM399" s="19">
        <v>1</v>
      </c>
      <c r="CN399" s="3"/>
      <c r="CO399" s="3"/>
      <c r="CP399" s="3"/>
      <c r="CT399" s="3">
        <v>1</v>
      </c>
      <c r="CU399" s="3">
        <v>1</v>
      </c>
      <c r="CV399" s="3">
        <v>1</v>
      </c>
      <c r="CW399" s="3">
        <v>1</v>
      </c>
      <c r="CX399" s="3">
        <v>1</v>
      </c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R399" s="3"/>
    </row>
    <row r="400" spans="1:142" s="3" customFormat="1" ht="15" customHeight="1" x14ac:dyDescent="0.25">
      <c r="A400" s="6" t="s">
        <v>539</v>
      </c>
      <c r="B400" s="2" t="s">
        <v>784</v>
      </c>
      <c r="C400" s="2" t="s">
        <v>1764</v>
      </c>
      <c r="D400" s="25" t="s">
        <v>1706</v>
      </c>
      <c r="E400" s="4" t="s">
        <v>1190</v>
      </c>
      <c r="F400" s="4" t="s">
        <v>1096</v>
      </c>
      <c r="G400" s="26">
        <v>1989</v>
      </c>
      <c r="H400" s="5"/>
      <c r="I400" s="5"/>
      <c r="J400" s="5"/>
      <c r="K400" s="1"/>
      <c r="L400" s="2"/>
      <c r="M400" s="5"/>
      <c r="N400" s="2" t="s">
        <v>1765</v>
      </c>
      <c r="O400" s="28" t="s">
        <v>2742</v>
      </c>
      <c r="Q400" s="27">
        <v>2</v>
      </c>
      <c r="W400" s="3">
        <v>3</v>
      </c>
      <c r="AB400" s="3">
        <v>8</v>
      </c>
      <c r="AC400" s="3">
        <v>3</v>
      </c>
      <c r="AF400" s="3">
        <v>1</v>
      </c>
      <c r="AI400" s="3">
        <v>9</v>
      </c>
      <c r="AW400" s="3">
        <v>9</v>
      </c>
      <c r="AY400" s="3">
        <v>9</v>
      </c>
      <c r="BA400" s="3">
        <v>1</v>
      </c>
      <c r="BB400" s="3">
        <v>9</v>
      </c>
      <c r="BM400" s="3">
        <v>9</v>
      </c>
      <c r="BQ400" s="3">
        <v>1</v>
      </c>
      <c r="BR400" s="3">
        <v>1</v>
      </c>
      <c r="BS400" s="3">
        <v>4</v>
      </c>
      <c r="BT400" s="19">
        <v>2</v>
      </c>
      <c r="BU400" s="3">
        <v>1</v>
      </c>
      <c r="BV400" s="19">
        <v>1</v>
      </c>
      <c r="BW400" s="19">
        <v>1</v>
      </c>
      <c r="BX400" s="19">
        <v>3</v>
      </c>
      <c r="BY400" s="19">
        <v>2</v>
      </c>
      <c r="BZ400" s="19">
        <v>4</v>
      </c>
      <c r="CA400" s="19">
        <v>2</v>
      </c>
      <c r="CB400" s="19">
        <v>3</v>
      </c>
      <c r="CC400" s="19">
        <v>1</v>
      </c>
      <c r="CD400" s="3">
        <v>3</v>
      </c>
      <c r="CE400" s="19">
        <v>1</v>
      </c>
      <c r="CF400" s="3">
        <v>3</v>
      </c>
      <c r="CG400" s="19">
        <v>1</v>
      </c>
      <c r="CH400" s="3">
        <v>2</v>
      </c>
      <c r="CI400" s="3">
        <v>3</v>
      </c>
      <c r="CJ400" s="3">
        <v>2</v>
      </c>
      <c r="CK400" s="3">
        <v>5</v>
      </c>
      <c r="CL400" s="3">
        <v>2</v>
      </c>
      <c r="CT400" s="3">
        <v>1</v>
      </c>
      <c r="CU400" s="3">
        <v>2</v>
      </c>
      <c r="CV400" s="3">
        <v>3</v>
      </c>
      <c r="CW400" s="3">
        <v>1</v>
      </c>
      <c r="CX400" s="3">
        <v>1</v>
      </c>
      <c r="DL400" s="3">
        <v>2</v>
      </c>
      <c r="DM400" s="3">
        <v>1</v>
      </c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</row>
    <row r="401" spans="1:142" s="3" customFormat="1" ht="15" customHeight="1" x14ac:dyDescent="0.25">
      <c r="A401" s="6" t="s">
        <v>540</v>
      </c>
      <c r="B401" s="2" t="s">
        <v>784</v>
      </c>
      <c r="C401" s="2" t="s">
        <v>1766</v>
      </c>
      <c r="D401" s="25" t="s">
        <v>1706</v>
      </c>
      <c r="E401" s="4" t="s">
        <v>1190</v>
      </c>
      <c r="F401" s="4" t="s">
        <v>1096</v>
      </c>
      <c r="G401" s="26">
        <v>1989</v>
      </c>
      <c r="H401" s="5"/>
      <c r="I401" s="5"/>
      <c r="J401" s="5"/>
      <c r="K401" s="1"/>
      <c r="L401" s="2"/>
      <c r="M401" s="5"/>
      <c r="N401" s="2" t="s">
        <v>1767</v>
      </c>
      <c r="O401" s="28" t="s">
        <v>2743</v>
      </c>
      <c r="Q401" s="27">
        <v>2</v>
      </c>
      <c r="W401" s="3">
        <v>4</v>
      </c>
      <c r="AB401" s="3">
        <v>8</v>
      </c>
      <c r="AC401" s="3">
        <v>3</v>
      </c>
      <c r="AF401" s="3">
        <v>1</v>
      </c>
      <c r="AI401" s="3">
        <v>9</v>
      </c>
      <c r="AW401" s="3">
        <v>9</v>
      </c>
      <c r="AY401" s="3">
        <v>9</v>
      </c>
      <c r="BA401" s="3">
        <v>1</v>
      </c>
      <c r="BB401" s="3">
        <v>9</v>
      </c>
      <c r="BM401" s="3">
        <v>9</v>
      </c>
      <c r="BQ401" s="3">
        <v>3</v>
      </c>
      <c r="BR401" s="3">
        <v>1</v>
      </c>
      <c r="BS401" s="3">
        <v>6</v>
      </c>
      <c r="BT401" s="19">
        <v>5</v>
      </c>
      <c r="BU401" s="3">
        <v>2</v>
      </c>
      <c r="BV401" s="19">
        <v>3</v>
      </c>
      <c r="BW401" s="19">
        <v>3</v>
      </c>
      <c r="BX401" s="19">
        <v>3</v>
      </c>
      <c r="BY401" s="19">
        <v>1</v>
      </c>
      <c r="BZ401" s="19">
        <v>3</v>
      </c>
      <c r="CA401" s="19">
        <v>1</v>
      </c>
      <c r="CB401" s="19">
        <v>3</v>
      </c>
      <c r="CC401" s="19">
        <v>3</v>
      </c>
      <c r="CD401" s="3">
        <v>4</v>
      </c>
      <c r="CF401" s="3">
        <v>3</v>
      </c>
      <c r="CH401" s="3">
        <v>3</v>
      </c>
      <c r="CI401" s="3">
        <v>8</v>
      </c>
      <c r="CJ401" s="3">
        <v>2</v>
      </c>
      <c r="CK401" s="3">
        <v>7</v>
      </c>
      <c r="CL401" s="3">
        <v>3</v>
      </c>
      <c r="CT401" s="3">
        <v>1</v>
      </c>
      <c r="CU401" s="3">
        <v>3</v>
      </c>
      <c r="CV401" s="3">
        <v>3</v>
      </c>
      <c r="CW401" s="3">
        <v>1</v>
      </c>
      <c r="CX401" s="3">
        <v>3</v>
      </c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</row>
    <row r="402" spans="1:142" ht="15" customHeight="1" x14ac:dyDescent="0.25">
      <c r="A402" s="6" t="s">
        <v>541</v>
      </c>
      <c r="B402" s="2" t="s">
        <v>784</v>
      </c>
      <c r="C402" s="2" t="s">
        <v>1768</v>
      </c>
      <c r="D402" s="25" t="s">
        <v>1706</v>
      </c>
      <c r="E402" s="4" t="s">
        <v>1190</v>
      </c>
      <c r="F402" s="4" t="s">
        <v>793</v>
      </c>
      <c r="G402" s="26">
        <v>1990</v>
      </c>
      <c r="H402" s="5"/>
      <c r="I402" s="5"/>
      <c r="J402" s="5"/>
      <c r="M402" s="5"/>
      <c r="N402" s="2" t="s">
        <v>1769</v>
      </c>
      <c r="O402" s="28" t="s">
        <v>2744</v>
      </c>
      <c r="P402" s="3"/>
      <c r="Q402" s="27">
        <v>2</v>
      </c>
      <c r="R402" s="3"/>
      <c r="S402" s="3"/>
      <c r="T402" s="3"/>
      <c r="U402" s="3"/>
      <c r="V402" s="3"/>
      <c r="W402" s="3">
        <v>4</v>
      </c>
      <c r="X402" s="3"/>
      <c r="Z402" s="3"/>
      <c r="AA402" s="3"/>
      <c r="AB402" s="3">
        <v>7</v>
      </c>
      <c r="AC402" s="3">
        <v>3</v>
      </c>
      <c r="AD402" s="3"/>
      <c r="AE402" s="3"/>
      <c r="AF402" s="3">
        <v>1</v>
      </c>
      <c r="AG402" s="3"/>
      <c r="AH402" s="3"/>
      <c r="AI402" s="3">
        <v>9</v>
      </c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>
        <v>9</v>
      </c>
      <c r="AX402" s="3"/>
      <c r="AY402" s="3">
        <v>9</v>
      </c>
      <c r="AZ402" s="3"/>
      <c r="BA402" s="3">
        <v>1</v>
      </c>
      <c r="BB402" s="3">
        <v>1</v>
      </c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19">
        <v>1</v>
      </c>
      <c r="CM402" s="19">
        <v>1</v>
      </c>
      <c r="CN402" s="3"/>
      <c r="CO402" s="3"/>
      <c r="CP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R402" s="3"/>
      <c r="DU402" s="3"/>
      <c r="DV402" s="3"/>
      <c r="DW402" s="3"/>
    </row>
    <row r="403" spans="1:142" ht="15" customHeight="1" x14ac:dyDescent="0.25">
      <c r="A403" s="6" t="s">
        <v>542</v>
      </c>
      <c r="B403" s="2" t="s">
        <v>784</v>
      </c>
      <c r="C403" s="2" t="s">
        <v>1770</v>
      </c>
      <c r="D403" s="25" t="s">
        <v>1706</v>
      </c>
      <c r="E403" s="4" t="s">
        <v>1190</v>
      </c>
      <c r="F403" s="4" t="s">
        <v>793</v>
      </c>
      <c r="G403" s="26">
        <v>1992</v>
      </c>
      <c r="H403" s="5"/>
      <c r="I403" s="5"/>
      <c r="J403" s="5"/>
      <c r="M403" s="5" t="s">
        <v>1762</v>
      </c>
      <c r="N403" s="2" t="s">
        <v>1771</v>
      </c>
      <c r="O403" s="28" t="s">
        <v>2745</v>
      </c>
      <c r="P403" s="3"/>
      <c r="Q403" s="27">
        <v>2</v>
      </c>
      <c r="R403" s="3"/>
      <c r="S403" s="3"/>
      <c r="T403" s="3"/>
      <c r="U403" s="3"/>
      <c r="V403" s="3"/>
      <c r="W403" s="3">
        <v>4</v>
      </c>
      <c r="X403" s="3"/>
      <c r="Z403" s="3"/>
      <c r="AA403" s="3"/>
      <c r="AB403" s="3">
        <v>5</v>
      </c>
      <c r="AC403" s="3">
        <v>5</v>
      </c>
      <c r="AD403" s="3"/>
      <c r="AE403" s="3"/>
      <c r="AF403" s="3"/>
      <c r="AG403" s="3"/>
      <c r="AH403" s="3"/>
      <c r="AI403" s="3"/>
      <c r="AJ403" s="3">
        <v>3</v>
      </c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>
        <v>3</v>
      </c>
      <c r="AY403" s="3"/>
      <c r="AZ403" s="3"/>
      <c r="BA403" s="3"/>
      <c r="BB403" s="3">
        <v>9</v>
      </c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>
        <v>1</v>
      </c>
      <c r="BN403" s="3"/>
      <c r="BO403" s="3"/>
      <c r="BP403" s="3"/>
      <c r="BQ403" s="3">
        <v>3</v>
      </c>
      <c r="BR403" s="3">
        <v>1</v>
      </c>
      <c r="BS403" s="3">
        <v>1</v>
      </c>
      <c r="BT403" s="19">
        <v>1</v>
      </c>
      <c r="BU403" s="3">
        <v>1</v>
      </c>
      <c r="BV403" s="19">
        <v>3</v>
      </c>
      <c r="BW403" s="19">
        <v>2</v>
      </c>
      <c r="BX403" s="19">
        <v>1</v>
      </c>
      <c r="BY403" s="3"/>
      <c r="BZ403" s="19">
        <v>1</v>
      </c>
      <c r="CA403" s="19">
        <v>1</v>
      </c>
      <c r="CB403" s="19">
        <v>1</v>
      </c>
      <c r="CC403" s="19">
        <v>1</v>
      </c>
      <c r="CD403" s="3">
        <v>1</v>
      </c>
      <c r="CE403" s="19">
        <v>1</v>
      </c>
      <c r="CF403" s="3">
        <v>1</v>
      </c>
      <c r="CG403" s="3"/>
      <c r="CH403" s="3">
        <v>1</v>
      </c>
      <c r="CI403" s="3">
        <v>1</v>
      </c>
      <c r="CJ403" s="3">
        <v>1</v>
      </c>
      <c r="CK403" s="3">
        <v>3</v>
      </c>
      <c r="CL403" s="3">
        <v>1</v>
      </c>
      <c r="CM403" s="3"/>
      <c r="CN403" s="3"/>
      <c r="CO403" s="3"/>
      <c r="CP403" s="3"/>
      <c r="CT403" s="3">
        <v>1</v>
      </c>
      <c r="CU403" s="3">
        <v>1</v>
      </c>
      <c r="CV403" s="3">
        <v>1</v>
      </c>
      <c r="CW403" s="3">
        <v>1</v>
      </c>
      <c r="CX403" s="3">
        <v>1</v>
      </c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R403" s="3"/>
    </row>
    <row r="404" spans="1:142" ht="15" customHeight="1" x14ac:dyDescent="0.25">
      <c r="A404" s="6" t="s">
        <v>543</v>
      </c>
      <c r="B404" s="2" t="s">
        <v>784</v>
      </c>
      <c r="C404" s="2" t="s">
        <v>1772</v>
      </c>
      <c r="D404" s="25" t="s">
        <v>1706</v>
      </c>
      <c r="E404" s="4" t="s">
        <v>1190</v>
      </c>
      <c r="F404" s="4" t="s">
        <v>793</v>
      </c>
      <c r="G404" s="26">
        <v>1992</v>
      </c>
      <c r="H404" s="5"/>
      <c r="I404" s="5"/>
      <c r="J404" s="5"/>
      <c r="M404" s="5"/>
      <c r="N404" s="2" t="s">
        <v>1773</v>
      </c>
      <c r="O404" s="28" t="s">
        <v>2746</v>
      </c>
      <c r="P404" s="3"/>
      <c r="Q404" s="27">
        <v>2</v>
      </c>
      <c r="R404" s="3"/>
      <c r="S404" s="3"/>
      <c r="T404" s="3"/>
      <c r="U404" s="3"/>
      <c r="V404" s="3"/>
      <c r="W404" s="3">
        <v>4</v>
      </c>
      <c r="X404" s="3"/>
      <c r="Z404" s="3"/>
      <c r="AA404" s="3"/>
      <c r="AB404" s="3">
        <v>5</v>
      </c>
      <c r="AC404" s="3">
        <v>5</v>
      </c>
      <c r="AD404" s="3"/>
      <c r="AE404" s="3"/>
      <c r="AF404" s="3"/>
      <c r="AG404" s="3"/>
      <c r="AH404" s="3"/>
      <c r="AI404" s="3"/>
      <c r="AJ404" s="3">
        <v>2</v>
      </c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>
        <v>3</v>
      </c>
      <c r="AY404" s="3"/>
      <c r="AZ404" s="3"/>
      <c r="BA404" s="3"/>
      <c r="BB404" s="3">
        <v>9</v>
      </c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>
        <v>1</v>
      </c>
      <c r="BN404" s="3"/>
      <c r="BO404" s="3"/>
      <c r="BP404" s="3"/>
      <c r="BQ404" s="3">
        <v>3</v>
      </c>
      <c r="BR404" s="3">
        <v>1</v>
      </c>
      <c r="BS404" s="3">
        <v>1</v>
      </c>
      <c r="BT404" s="19">
        <v>1</v>
      </c>
      <c r="BU404" s="3">
        <v>1</v>
      </c>
      <c r="BV404" s="19">
        <v>3</v>
      </c>
      <c r="BW404" s="19">
        <v>1</v>
      </c>
      <c r="BX404" s="19">
        <v>1</v>
      </c>
      <c r="BY404" s="3"/>
      <c r="BZ404" s="19">
        <v>1</v>
      </c>
      <c r="CA404" s="19">
        <v>1</v>
      </c>
      <c r="CB404" s="19">
        <v>1</v>
      </c>
      <c r="CC404" s="19">
        <v>1</v>
      </c>
      <c r="CD404" s="3">
        <v>1</v>
      </c>
      <c r="CE404" s="19">
        <v>1</v>
      </c>
      <c r="CF404" s="3">
        <v>1</v>
      </c>
      <c r="CG404" s="3"/>
      <c r="CH404" s="3">
        <v>1</v>
      </c>
      <c r="CI404" s="3">
        <v>1</v>
      </c>
      <c r="CJ404" s="3">
        <v>1</v>
      </c>
      <c r="CK404" s="3">
        <v>3</v>
      </c>
      <c r="CL404" s="3">
        <v>1</v>
      </c>
      <c r="CM404" s="19">
        <v>1</v>
      </c>
      <c r="CN404" s="3"/>
      <c r="CO404" s="3"/>
      <c r="CP404" s="3"/>
      <c r="CT404" s="3">
        <v>1</v>
      </c>
      <c r="CU404" s="3">
        <v>1</v>
      </c>
      <c r="CV404" s="3">
        <v>1</v>
      </c>
      <c r="CW404" s="3">
        <v>1</v>
      </c>
      <c r="CX404" s="3">
        <v>1</v>
      </c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R404" s="3"/>
    </row>
    <row r="405" spans="1:142" s="3" customFormat="1" ht="15" customHeight="1" x14ac:dyDescent="0.25">
      <c r="A405" s="6" t="s">
        <v>544</v>
      </c>
      <c r="B405" s="2" t="s">
        <v>784</v>
      </c>
      <c r="C405" s="2" t="s">
        <v>1774</v>
      </c>
      <c r="D405" s="25" t="s">
        <v>1706</v>
      </c>
      <c r="E405" s="4" t="s">
        <v>1190</v>
      </c>
      <c r="F405" s="4" t="s">
        <v>793</v>
      </c>
      <c r="G405" s="26">
        <v>1992</v>
      </c>
      <c r="H405" s="5"/>
      <c r="I405" s="5"/>
      <c r="J405" s="5"/>
      <c r="K405" s="1"/>
      <c r="L405" s="2"/>
      <c r="M405" s="5" t="s">
        <v>1762</v>
      </c>
      <c r="N405" s="2" t="s">
        <v>1775</v>
      </c>
      <c r="O405" s="28" t="s">
        <v>2747</v>
      </c>
      <c r="Q405" s="27">
        <v>2</v>
      </c>
      <c r="W405" s="3">
        <v>4</v>
      </c>
      <c r="AB405" s="3">
        <v>7</v>
      </c>
      <c r="AC405" s="3">
        <v>5</v>
      </c>
      <c r="AJ405" s="3">
        <v>5</v>
      </c>
      <c r="AX405" s="3">
        <v>6</v>
      </c>
      <c r="AZ405" s="3">
        <v>6</v>
      </c>
      <c r="BB405" s="3">
        <v>9</v>
      </c>
      <c r="BM405" s="3">
        <v>1</v>
      </c>
      <c r="BQ405" s="3">
        <v>3</v>
      </c>
      <c r="BR405" s="3">
        <v>1</v>
      </c>
      <c r="BS405" s="3">
        <v>1</v>
      </c>
      <c r="BT405" s="19">
        <v>1</v>
      </c>
      <c r="BU405" s="3">
        <v>1</v>
      </c>
      <c r="BV405" s="19">
        <v>3</v>
      </c>
      <c r="BW405" s="19">
        <v>1</v>
      </c>
      <c r="BX405" s="19">
        <v>1</v>
      </c>
      <c r="BZ405" s="19">
        <v>1</v>
      </c>
      <c r="CA405" s="19">
        <v>1</v>
      </c>
      <c r="CB405" s="19">
        <v>1</v>
      </c>
      <c r="CC405" s="19">
        <v>1</v>
      </c>
      <c r="CD405" s="3">
        <v>1</v>
      </c>
      <c r="CE405" s="19">
        <v>1</v>
      </c>
      <c r="CF405" s="3">
        <v>1</v>
      </c>
      <c r="CH405" s="3">
        <v>1</v>
      </c>
      <c r="CI405" s="3">
        <v>1</v>
      </c>
      <c r="CJ405" s="3">
        <v>1</v>
      </c>
      <c r="CK405" s="3">
        <v>3</v>
      </c>
      <c r="CL405" s="3">
        <v>1</v>
      </c>
      <c r="CM405" s="19">
        <v>1</v>
      </c>
      <c r="CT405" s="3">
        <v>1</v>
      </c>
      <c r="CU405" s="3">
        <v>1</v>
      </c>
      <c r="CV405" s="3">
        <v>1</v>
      </c>
      <c r="CW405" s="3">
        <v>1</v>
      </c>
      <c r="CX405" s="3">
        <v>1</v>
      </c>
      <c r="DQ405" s="19">
        <v>1</v>
      </c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</row>
    <row r="406" spans="1:142" ht="15" customHeight="1" x14ac:dyDescent="0.25">
      <c r="A406" s="6" t="s">
        <v>545</v>
      </c>
      <c r="B406" s="2" t="s">
        <v>784</v>
      </c>
      <c r="C406" s="2" t="s">
        <v>1776</v>
      </c>
      <c r="D406" s="25" t="s">
        <v>1706</v>
      </c>
      <c r="E406" s="4" t="s">
        <v>1190</v>
      </c>
      <c r="F406" s="4" t="s">
        <v>793</v>
      </c>
      <c r="G406" s="26">
        <v>1992</v>
      </c>
      <c r="H406" s="5"/>
      <c r="I406" s="5"/>
      <c r="J406" s="5"/>
      <c r="M406" s="5"/>
      <c r="N406" s="2" t="s">
        <v>1777</v>
      </c>
      <c r="O406" s="28" t="s">
        <v>2748</v>
      </c>
      <c r="P406" s="3"/>
      <c r="Q406" s="27">
        <v>2</v>
      </c>
      <c r="R406" s="3"/>
      <c r="S406" s="3"/>
      <c r="T406" s="3"/>
      <c r="U406" s="3"/>
      <c r="V406" s="3"/>
      <c r="W406" s="3">
        <v>4</v>
      </c>
      <c r="X406" s="3"/>
      <c r="Z406" s="3"/>
      <c r="AA406" s="3"/>
      <c r="AB406" s="3">
        <v>8</v>
      </c>
      <c r="AC406" s="3">
        <v>5</v>
      </c>
      <c r="AD406" s="3"/>
      <c r="AE406" s="3"/>
      <c r="AF406" s="3"/>
      <c r="AG406" s="3"/>
      <c r="AH406" s="3"/>
      <c r="AI406" s="3"/>
      <c r="AJ406" s="3">
        <v>5</v>
      </c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>
        <v>7</v>
      </c>
      <c r="AY406" s="3"/>
      <c r="AZ406" s="3">
        <v>6</v>
      </c>
      <c r="BA406" s="3"/>
      <c r="BB406" s="3">
        <v>9</v>
      </c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>
        <v>1</v>
      </c>
      <c r="BN406" s="3"/>
      <c r="BO406" s="3"/>
      <c r="BP406" s="3"/>
      <c r="BQ406" s="3">
        <v>3</v>
      </c>
      <c r="BR406" s="3">
        <v>1</v>
      </c>
      <c r="BS406" s="3">
        <v>1</v>
      </c>
      <c r="BT406" s="19">
        <v>1</v>
      </c>
      <c r="BU406" s="3">
        <v>1</v>
      </c>
      <c r="BV406" s="19">
        <v>3</v>
      </c>
      <c r="BW406" s="19">
        <v>1</v>
      </c>
      <c r="BX406" s="19">
        <v>1</v>
      </c>
      <c r="BY406" s="3"/>
      <c r="BZ406" s="19">
        <v>1</v>
      </c>
      <c r="CA406" s="19">
        <v>1</v>
      </c>
      <c r="CB406" s="19">
        <v>1</v>
      </c>
      <c r="CC406" s="19">
        <v>1</v>
      </c>
      <c r="CD406" s="3">
        <v>1</v>
      </c>
      <c r="CE406" s="19">
        <v>1</v>
      </c>
      <c r="CF406" s="3">
        <v>1</v>
      </c>
      <c r="CG406" s="3"/>
      <c r="CH406" s="3">
        <v>1</v>
      </c>
      <c r="CI406" s="3">
        <v>2</v>
      </c>
      <c r="CJ406" s="3">
        <v>1</v>
      </c>
      <c r="CK406" s="3">
        <v>5</v>
      </c>
      <c r="CL406" s="3">
        <v>1</v>
      </c>
      <c r="CM406" s="19">
        <v>1</v>
      </c>
      <c r="CN406" s="3"/>
      <c r="CO406" s="3"/>
      <c r="CP406" s="3"/>
      <c r="CT406" s="3">
        <v>1</v>
      </c>
      <c r="CU406" s="3">
        <v>1</v>
      </c>
      <c r="CV406" s="3">
        <v>1</v>
      </c>
      <c r="CW406" s="3">
        <v>1</v>
      </c>
      <c r="CX406" s="3">
        <v>1</v>
      </c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R406" s="3"/>
    </row>
    <row r="407" spans="1:142" ht="15" customHeight="1" x14ac:dyDescent="0.25">
      <c r="A407" s="6" t="s">
        <v>546</v>
      </c>
      <c r="B407" s="2" t="s">
        <v>784</v>
      </c>
      <c r="C407" s="2" t="s">
        <v>1778</v>
      </c>
      <c r="D407" s="25" t="s">
        <v>1706</v>
      </c>
      <c r="E407" s="4" t="s">
        <v>1190</v>
      </c>
      <c r="F407" s="4" t="s">
        <v>793</v>
      </c>
      <c r="G407" s="26">
        <v>1992</v>
      </c>
      <c r="H407" s="5"/>
      <c r="I407" s="5"/>
      <c r="J407" s="5"/>
      <c r="M407" s="5"/>
      <c r="N407" s="2" t="s">
        <v>1779</v>
      </c>
      <c r="O407" s="28" t="s">
        <v>2749</v>
      </c>
      <c r="P407" s="3"/>
      <c r="Q407" s="27">
        <v>2</v>
      </c>
      <c r="R407" s="3"/>
      <c r="S407" s="3"/>
      <c r="T407" s="3"/>
      <c r="U407" s="3"/>
      <c r="V407" s="3"/>
      <c r="W407" s="3">
        <v>4</v>
      </c>
      <c r="X407" s="3"/>
      <c r="Z407" s="3"/>
      <c r="AA407" s="3"/>
      <c r="AB407" s="3">
        <v>8</v>
      </c>
      <c r="AC407" s="3">
        <v>5</v>
      </c>
      <c r="AD407" s="3"/>
      <c r="AE407" s="3"/>
      <c r="AF407" s="3"/>
      <c r="AG407" s="3"/>
      <c r="AH407" s="3"/>
      <c r="AI407" s="3"/>
      <c r="AJ407" s="3">
        <v>6</v>
      </c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>
        <v>7</v>
      </c>
      <c r="AY407" s="3"/>
      <c r="AZ407" s="3">
        <v>6</v>
      </c>
      <c r="BA407" s="3"/>
      <c r="BB407" s="3">
        <v>9</v>
      </c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>
        <v>1</v>
      </c>
      <c r="BN407" s="3"/>
      <c r="BO407" s="3"/>
      <c r="BP407" s="3"/>
      <c r="BQ407" s="3">
        <v>4</v>
      </c>
      <c r="BR407" s="3">
        <v>1</v>
      </c>
      <c r="BS407" s="3">
        <v>1</v>
      </c>
      <c r="BT407" s="19">
        <v>1</v>
      </c>
      <c r="BU407" s="3">
        <v>1</v>
      </c>
      <c r="BV407" s="19">
        <v>3</v>
      </c>
      <c r="BW407" s="19">
        <v>2</v>
      </c>
      <c r="BX407" s="19">
        <v>1</v>
      </c>
      <c r="BY407" s="3"/>
      <c r="BZ407" s="19">
        <v>1</v>
      </c>
      <c r="CA407" s="19">
        <v>1</v>
      </c>
      <c r="CB407" s="19">
        <v>1</v>
      </c>
      <c r="CC407" s="19">
        <v>1</v>
      </c>
      <c r="CD407" s="3">
        <v>1</v>
      </c>
      <c r="CE407" s="19">
        <v>1</v>
      </c>
      <c r="CF407" s="3">
        <v>1</v>
      </c>
      <c r="CG407" s="3"/>
      <c r="CH407" s="3">
        <v>1</v>
      </c>
      <c r="CI407" s="3">
        <v>1</v>
      </c>
      <c r="CJ407" s="3">
        <v>1</v>
      </c>
      <c r="CK407" s="3">
        <v>5</v>
      </c>
      <c r="CL407" s="3">
        <v>1</v>
      </c>
      <c r="CM407" s="19">
        <v>1</v>
      </c>
      <c r="CN407" s="3"/>
      <c r="CO407" s="3"/>
      <c r="CP407" s="3"/>
      <c r="CT407" s="3">
        <v>1</v>
      </c>
      <c r="CU407" s="3">
        <v>1</v>
      </c>
      <c r="CV407" s="3">
        <v>1</v>
      </c>
      <c r="CW407" s="3">
        <v>1</v>
      </c>
      <c r="CX407" s="3">
        <v>1</v>
      </c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>
        <v>1</v>
      </c>
      <c r="DM407" s="3">
        <v>1</v>
      </c>
      <c r="DN407" s="3"/>
      <c r="DO407" s="3"/>
      <c r="DP407" s="3"/>
      <c r="DR407" s="3"/>
    </row>
    <row r="408" spans="1:142" ht="15" customHeight="1" x14ac:dyDescent="0.25">
      <c r="A408" s="6" t="s">
        <v>547</v>
      </c>
      <c r="B408" s="2" t="s">
        <v>784</v>
      </c>
      <c r="C408" s="2" t="s">
        <v>1780</v>
      </c>
      <c r="D408" s="25" t="s">
        <v>1706</v>
      </c>
      <c r="E408" s="4" t="s">
        <v>1190</v>
      </c>
      <c r="F408" s="4" t="s">
        <v>793</v>
      </c>
      <c r="G408" s="29"/>
      <c r="H408" s="5"/>
      <c r="I408" s="5"/>
      <c r="J408" s="5"/>
      <c r="M408" s="5"/>
      <c r="N408" s="2" t="s">
        <v>1781</v>
      </c>
      <c r="O408" s="28" t="s">
        <v>2750</v>
      </c>
      <c r="P408" s="3"/>
      <c r="Q408" s="27">
        <v>2</v>
      </c>
      <c r="R408" s="3"/>
      <c r="S408" s="3"/>
      <c r="T408" s="3"/>
      <c r="U408" s="3"/>
      <c r="V408" s="3"/>
      <c r="W408" s="3">
        <v>4</v>
      </c>
      <c r="X408" s="3"/>
      <c r="Z408" s="3"/>
      <c r="AA408" s="3"/>
      <c r="AB408" s="3">
        <v>5</v>
      </c>
      <c r="AC408" s="3">
        <v>3</v>
      </c>
      <c r="AD408" s="3"/>
      <c r="AE408" s="3"/>
      <c r="AF408" s="3"/>
      <c r="AG408" s="3"/>
      <c r="AH408" s="3"/>
      <c r="AI408" s="3"/>
      <c r="AJ408" s="3">
        <v>4</v>
      </c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>
        <v>2</v>
      </c>
      <c r="AY408" s="3"/>
      <c r="AZ408" s="3">
        <v>7</v>
      </c>
      <c r="BA408" s="3">
        <v>1</v>
      </c>
      <c r="BB408" s="3">
        <v>1</v>
      </c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>
        <v>2</v>
      </c>
      <c r="BN408" s="3"/>
      <c r="BO408" s="3"/>
      <c r="BP408" s="3"/>
      <c r="BQ408" s="3">
        <v>4</v>
      </c>
      <c r="BR408" s="3">
        <v>1</v>
      </c>
      <c r="BS408" s="3">
        <v>1</v>
      </c>
      <c r="BT408" s="19">
        <v>1</v>
      </c>
      <c r="BU408" s="3">
        <v>1</v>
      </c>
      <c r="BV408" s="19">
        <v>3</v>
      </c>
      <c r="BW408" s="19">
        <v>2</v>
      </c>
      <c r="BX408" s="19">
        <v>1</v>
      </c>
      <c r="BY408" s="3"/>
      <c r="BZ408" s="19">
        <v>1</v>
      </c>
      <c r="CA408" s="19">
        <v>1</v>
      </c>
      <c r="CB408" s="19">
        <v>2</v>
      </c>
      <c r="CC408" s="19">
        <v>1</v>
      </c>
      <c r="CD408" s="3">
        <v>1</v>
      </c>
      <c r="CE408" s="19">
        <v>1</v>
      </c>
      <c r="CF408" s="3">
        <v>1</v>
      </c>
      <c r="CG408" s="3"/>
      <c r="CH408" s="3">
        <v>1</v>
      </c>
      <c r="CI408" s="3">
        <v>3</v>
      </c>
      <c r="CJ408" s="3">
        <v>1</v>
      </c>
      <c r="CK408" s="3">
        <v>5</v>
      </c>
      <c r="CL408" s="3">
        <v>1</v>
      </c>
      <c r="CM408" s="3"/>
      <c r="CN408" s="3"/>
      <c r="CO408" s="3"/>
      <c r="CP408" s="3"/>
      <c r="CT408" s="3">
        <v>1</v>
      </c>
      <c r="CU408" s="3">
        <v>1</v>
      </c>
      <c r="CV408" s="3">
        <v>1</v>
      </c>
      <c r="CW408" s="3">
        <v>2</v>
      </c>
      <c r="CX408" s="3">
        <v>1</v>
      </c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R408" s="3"/>
    </row>
    <row r="409" spans="1:142" ht="15" customHeight="1" x14ac:dyDescent="0.25">
      <c r="A409" s="6" t="s">
        <v>548</v>
      </c>
      <c r="B409" s="2" t="s">
        <v>784</v>
      </c>
      <c r="C409" s="2" t="s">
        <v>1782</v>
      </c>
      <c r="D409" s="25" t="s">
        <v>1706</v>
      </c>
      <c r="E409" s="4" t="s">
        <v>1190</v>
      </c>
      <c r="F409" s="4" t="s">
        <v>1160</v>
      </c>
      <c r="G409" s="29"/>
      <c r="H409" s="5"/>
      <c r="I409" s="5"/>
      <c r="J409" s="5"/>
      <c r="M409" s="5"/>
      <c r="N409" s="2" t="s">
        <v>1783</v>
      </c>
      <c r="O409" s="28" t="s">
        <v>2751</v>
      </c>
      <c r="P409" s="3"/>
      <c r="Q409" s="27">
        <v>2</v>
      </c>
      <c r="R409" s="3"/>
      <c r="S409" s="3"/>
      <c r="T409" s="3"/>
      <c r="U409" s="3"/>
      <c r="V409" s="3"/>
      <c r="W409" s="3">
        <v>4</v>
      </c>
      <c r="X409" s="3"/>
      <c r="Z409" s="3"/>
      <c r="AA409" s="3"/>
      <c r="AB409" s="3">
        <v>8</v>
      </c>
      <c r="AC409" s="3">
        <v>6</v>
      </c>
      <c r="AD409" s="3"/>
      <c r="AE409" s="3"/>
      <c r="AF409" s="3">
        <v>1</v>
      </c>
      <c r="AG409" s="3"/>
      <c r="AH409" s="3"/>
      <c r="AI409" s="3"/>
      <c r="AJ409" s="3">
        <v>6</v>
      </c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>
        <v>3</v>
      </c>
      <c r="AY409" s="3"/>
      <c r="AZ409" s="3">
        <v>5</v>
      </c>
      <c r="BA409" s="3">
        <v>1</v>
      </c>
      <c r="BB409" s="3">
        <v>9</v>
      </c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R409" s="3"/>
    </row>
    <row r="410" spans="1:142" ht="15" customHeight="1" x14ac:dyDescent="0.25">
      <c r="A410" s="6" t="s">
        <v>549</v>
      </c>
      <c r="B410" s="2" t="s">
        <v>784</v>
      </c>
      <c r="C410" s="2" t="s">
        <v>1784</v>
      </c>
      <c r="D410" s="25" t="s">
        <v>1706</v>
      </c>
      <c r="E410" s="4" t="s">
        <v>1190</v>
      </c>
      <c r="F410" s="4" t="s">
        <v>793</v>
      </c>
      <c r="G410" s="29"/>
      <c r="H410" s="5"/>
      <c r="I410" s="5"/>
      <c r="J410" s="5"/>
      <c r="M410" s="5"/>
      <c r="N410" s="2" t="s">
        <v>1785</v>
      </c>
      <c r="O410" s="28" t="s">
        <v>2752</v>
      </c>
      <c r="P410" s="3"/>
      <c r="Q410" s="27">
        <v>2</v>
      </c>
      <c r="R410" s="3"/>
      <c r="S410" s="3"/>
      <c r="T410" s="3"/>
      <c r="U410" s="3"/>
      <c r="V410" s="3"/>
      <c r="W410" s="3">
        <v>4</v>
      </c>
      <c r="X410" s="3"/>
      <c r="Z410" s="3"/>
      <c r="AA410" s="3"/>
      <c r="AB410" s="3">
        <v>7</v>
      </c>
      <c r="AC410" s="3">
        <v>3</v>
      </c>
      <c r="AD410" s="3"/>
      <c r="AE410" s="3"/>
      <c r="AF410" s="3"/>
      <c r="AG410" s="3"/>
      <c r="AH410" s="3"/>
      <c r="AI410" s="3"/>
      <c r="AJ410" s="3">
        <v>4</v>
      </c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>
        <v>6</v>
      </c>
      <c r="AY410" s="3"/>
      <c r="AZ410" s="3">
        <v>6</v>
      </c>
      <c r="BA410" s="3">
        <v>1</v>
      </c>
      <c r="BB410" s="3">
        <v>9</v>
      </c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R410" s="3"/>
    </row>
    <row r="411" spans="1:142" ht="15" customHeight="1" x14ac:dyDescent="0.25">
      <c r="A411" s="6" t="s">
        <v>550</v>
      </c>
      <c r="B411" s="2" t="s">
        <v>784</v>
      </c>
      <c r="C411" s="2" t="s">
        <v>1786</v>
      </c>
      <c r="D411" s="25" t="s">
        <v>1706</v>
      </c>
      <c r="E411" s="4" t="s">
        <v>1190</v>
      </c>
      <c r="F411" s="5"/>
      <c r="G411" s="29"/>
      <c r="H411" s="5"/>
      <c r="I411" s="5"/>
      <c r="J411" s="5"/>
      <c r="M411" s="5"/>
      <c r="N411" s="2" t="s">
        <v>1787</v>
      </c>
      <c r="O411" s="28" t="s">
        <v>2753</v>
      </c>
      <c r="P411" s="3"/>
      <c r="Q411" s="27">
        <v>2</v>
      </c>
      <c r="R411" s="3"/>
      <c r="S411" s="3"/>
      <c r="T411" s="3"/>
      <c r="U411" s="3"/>
      <c r="V411" s="3"/>
      <c r="W411" s="3">
        <v>4</v>
      </c>
      <c r="X411" s="3"/>
      <c r="Z411" s="3"/>
      <c r="AA411" s="3"/>
      <c r="AB411" s="3">
        <v>6</v>
      </c>
      <c r="AC411" s="3">
        <v>3</v>
      </c>
      <c r="AD411" s="3"/>
      <c r="AE411" s="3"/>
      <c r="AF411" s="3"/>
      <c r="AG411" s="3"/>
      <c r="AH411" s="3"/>
      <c r="AI411" s="3"/>
      <c r="AJ411" s="3">
        <v>4</v>
      </c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>
        <v>3</v>
      </c>
      <c r="AY411" s="3"/>
      <c r="AZ411" s="3">
        <v>5</v>
      </c>
      <c r="BA411" s="3">
        <v>1</v>
      </c>
      <c r="BB411" s="3">
        <v>1</v>
      </c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>
        <v>9</v>
      </c>
      <c r="BN411" s="3"/>
      <c r="BO411" s="3"/>
      <c r="BP411" s="3"/>
      <c r="BQ411" s="3">
        <v>1</v>
      </c>
      <c r="BR411" s="3">
        <v>1</v>
      </c>
      <c r="BS411" s="3">
        <v>1</v>
      </c>
      <c r="BT411" s="19">
        <v>2</v>
      </c>
      <c r="BU411" s="3">
        <v>1</v>
      </c>
      <c r="BV411" s="19">
        <v>1</v>
      </c>
      <c r="BW411" s="19">
        <v>1</v>
      </c>
      <c r="BX411" s="19">
        <v>1</v>
      </c>
      <c r="BY411" s="19">
        <v>1</v>
      </c>
      <c r="BZ411" s="19">
        <v>2</v>
      </c>
      <c r="CA411" s="19">
        <v>1</v>
      </c>
      <c r="CB411" s="19">
        <v>1</v>
      </c>
      <c r="CC411" s="19">
        <v>1</v>
      </c>
      <c r="CD411" s="3">
        <v>1</v>
      </c>
      <c r="CE411" s="19">
        <v>1</v>
      </c>
      <c r="CF411" s="3">
        <v>1</v>
      </c>
      <c r="CG411" s="19">
        <v>1</v>
      </c>
      <c r="CH411" s="3">
        <v>1</v>
      </c>
      <c r="CI411" s="3">
        <v>5</v>
      </c>
      <c r="CJ411" s="3">
        <v>1</v>
      </c>
      <c r="CK411" s="3">
        <v>3</v>
      </c>
      <c r="CL411" s="3">
        <v>1</v>
      </c>
      <c r="CM411" s="3"/>
      <c r="CN411" s="3"/>
      <c r="CO411" s="3"/>
      <c r="CP411" s="3"/>
      <c r="CT411" s="3">
        <v>1</v>
      </c>
      <c r="CU411" s="3"/>
      <c r="CV411" s="3">
        <v>1</v>
      </c>
      <c r="CW411" s="3">
        <v>1</v>
      </c>
      <c r="CX411" s="3">
        <v>1</v>
      </c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R411" s="3"/>
    </row>
    <row r="412" spans="1:142" ht="15" customHeight="1" x14ac:dyDescent="0.25">
      <c r="A412" s="6" t="s">
        <v>551</v>
      </c>
      <c r="B412" s="2" t="s">
        <v>784</v>
      </c>
      <c r="C412" s="2" t="s">
        <v>1788</v>
      </c>
      <c r="D412" s="25" t="s">
        <v>1706</v>
      </c>
      <c r="E412" s="4" t="s">
        <v>1190</v>
      </c>
      <c r="F412" s="4" t="s">
        <v>793</v>
      </c>
      <c r="G412" s="29"/>
      <c r="H412" s="5"/>
      <c r="I412" s="5"/>
      <c r="J412" s="5"/>
      <c r="M412" s="5"/>
      <c r="N412" s="2" t="s">
        <v>1789</v>
      </c>
      <c r="O412" s="28" t="s">
        <v>2754</v>
      </c>
      <c r="P412" s="3"/>
      <c r="Q412" s="27">
        <v>2</v>
      </c>
      <c r="R412" s="3"/>
      <c r="S412" s="3"/>
      <c r="T412" s="3"/>
      <c r="U412" s="3"/>
      <c r="V412" s="3"/>
      <c r="W412" s="3">
        <v>3</v>
      </c>
      <c r="X412" s="3"/>
      <c r="Z412" s="3"/>
      <c r="AA412" s="3"/>
      <c r="AB412" s="3">
        <v>5</v>
      </c>
      <c r="AC412" s="3">
        <v>4</v>
      </c>
      <c r="AD412" s="3"/>
      <c r="AE412" s="3"/>
      <c r="AF412" s="3"/>
      <c r="AG412" s="3"/>
      <c r="AH412" s="3"/>
      <c r="AI412" s="3"/>
      <c r="AJ412" s="3">
        <v>4</v>
      </c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>
        <v>4</v>
      </c>
      <c r="AY412" s="3"/>
      <c r="AZ412" s="3">
        <v>5</v>
      </c>
      <c r="BA412" s="3">
        <v>1</v>
      </c>
      <c r="BB412" s="3">
        <v>9</v>
      </c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R412" s="3"/>
    </row>
    <row r="413" spans="1:142" ht="15" customHeight="1" x14ac:dyDescent="0.25">
      <c r="A413" s="6" t="s">
        <v>552</v>
      </c>
      <c r="B413" s="2" t="s">
        <v>784</v>
      </c>
      <c r="C413" s="2" t="s">
        <v>1790</v>
      </c>
      <c r="D413" s="25" t="s">
        <v>1706</v>
      </c>
      <c r="E413" s="4" t="s">
        <v>1190</v>
      </c>
      <c r="F413" s="4" t="s">
        <v>793</v>
      </c>
      <c r="G413" s="26">
        <v>1992</v>
      </c>
      <c r="H413" s="5"/>
      <c r="I413" s="5"/>
      <c r="J413" s="5"/>
      <c r="M413" s="5"/>
      <c r="N413" s="2" t="s">
        <v>1791</v>
      </c>
      <c r="O413" s="28" t="s">
        <v>2755</v>
      </c>
      <c r="P413" s="3"/>
      <c r="Q413" s="27">
        <v>2</v>
      </c>
      <c r="R413" s="3"/>
      <c r="S413" s="3"/>
      <c r="T413" s="3"/>
      <c r="U413" s="3"/>
      <c r="V413" s="3"/>
      <c r="W413" s="3">
        <v>3</v>
      </c>
      <c r="X413" s="3"/>
      <c r="Z413" s="3"/>
      <c r="AA413" s="3"/>
      <c r="AB413" s="3">
        <v>7</v>
      </c>
      <c r="AC413" s="3">
        <v>4</v>
      </c>
      <c r="AD413" s="3"/>
      <c r="AE413" s="3"/>
      <c r="AF413" s="3"/>
      <c r="AG413" s="3"/>
      <c r="AH413" s="3"/>
      <c r="AI413" s="3"/>
      <c r="AJ413" s="3">
        <v>5</v>
      </c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>
        <v>4</v>
      </c>
      <c r="AY413" s="3"/>
      <c r="AZ413" s="3">
        <v>4</v>
      </c>
      <c r="BA413" s="3">
        <v>1</v>
      </c>
      <c r="BB413" s="3">
        <v>9</v>
      </c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>
        <v>1</v>
      </c>
      <c r="BR413" s="3">
        <v>1</v>
      </c>
      <c r="BS413" s="3">
        <v>1</v>
      </c>
      <c r="BT413" s="19">
        <v>1</v>
      </c>
      <c r="BU413" s="3">
        <v>1</v>
      </c>
      <c r="BV413" s="19">
        <v>1</v>
      </c>
      <c r="BW413" s="19">
        <v>2</v>
      </c>
      <c r="BX413" s="19">
        <v>1</v>
      </c>
      <c r="BY413" s="19">
        <v>1</v>
      </c>
      <c r="BZ413" s="19">
        <v>2</v>
      </c>
      <c r="CA413" s="19">
        <v>1</v>
      </c>
      <c r="CB413" s="19">
        <v>1</v>
      </c>
      <c r="CC413" s="19">
        <v>1</v>
      </c>
      <c r="CD413" s="3">
        <v>2</v>
      </c>
      <c r="CE413" s="19">
        <v>1</v>
      </c>
      <c r="CF413" s="3">
        <v>1</v>
      </c>
      <c r="CG413" s="19">
        <v>1</v>
      </c>
      <c r="CH413" s="3">
        <v>1</v>
      </c>
      <c r="CI413" s="3">
        <v>4</v>
      </c>
      <c r="CJ413" s="3">
        <v>1</v>
      </c>
      <c r="CK413" s="3">
        <v>3</v>
      </c>
      <c r="CL413" s="3">
        <v>1</v>
      </c>
      <c r="CM413" s="3"/>
      <c r="CN413" s="3"/>
      <c r="CO413" s="3"/>
      <c r="CP413" s="3"/>
      <c r="CT413" s="3">
        <v>1</v>
      </c>
      <c r="CU413" s="3">
        <v>1</v>
      </c>
      <c r="CV413" s="3">
        <v>1</v>
      </c>
      <c r="CW413" s="3">
        <v>1</v>
      </c>
      <c r="CX413" s="3">
        <v>1</v>
      </c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R413" s="3"/>
    </row>
    <row r="414" spans="1:142" ht="15" customHeight="1" x14ac:dyDescent="0.25">
      <c r="A414" s="6" t="s">
        <v>553</v>
      </c>
      <c r="B414" s="2" t="s">
        <v>784</v>
      </c>
      <c r="C414" s="2" t="s">
        <v>1792</v>
      </c>
      <c r="D414" s="25" t="s">
        <v>1706</v>
      </c>
      <c r="E414" s="4" t="s">
        <v>1190</v>
      </c>
      <c r="F414" s="4" t="s">
        <v>1793</v>
      </c>
      <c r="G414" s="29"/>
      <c r="H414" s="5"/>
      <c r="I414" s="5"/>
      <c r="J414" s="5"/>
      <c r="M414" s="5"/>
      <c r="N414" s="2" t="s">
        <v>1794</v>
      </c>
      <c r="O414" s="28" t="s">
        <v>2756</v>
      </c>
      <c r="P414" s="3"/>
      <c r="Q414" s="27">
        <v>2</v>
      </c>
      <c r="R414" s="3"/>
      <c r="S414" s="3"/>
      <c r="T414" s="3"/>
      <c r="U414" s="3"/>
      <c r="V414" s="3"/>
      <c r="W414" s="3">
        <v>3</v>
      </c>
      <c r="X414" s="3"/>
      <c r="Z414" s="3"/>
      <c r="AA414" s="3"/>
      <c r="AB414" s="3">
        <v>6</v>
      </c>
      <c r="AC414" s="3"/>
      <c r="AD414" s="3"/>
      <c r="AE414" s="3"/>
      <c r="AF414" s="3"/>
      <c r="AG414" s="3"/>
      <c r="AH414" s="3"/>
      <c r="AI414" s="3"/>
      <c r="AJ414" s="3">
        <v>4</v>
      </c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>
        <v>2</v>
      </c>
      <c r="AY414" s="3"/>
      <c r="AZ414" s="3">
        <v>4</v>
      </c>
      <c r="BA414" s="3">
        <v>1</v>
      </c>
      <c r="BB414" s="3">
        <v>1</v>
      </c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>
        <v>1</v>
      </c>
      <c r="CE414" s="3"/>
      <c r="CF414" s="3"/>
      <c r="CG414" s="3"/>
      <c r="CH414" s="3">
        <v>1</v>
      </c>
      <c r="CI414" s="3">
        <v>1</v>
      </c>
      <c r="CJ414" s="3"/>
      <c r="CK414" s="19">
        <v>1</v>
      </c>
      <c r="CL414" s="19">
        <v>1</v>
      </c>
      <c r="CM414" s="19">
        <v>1</v>
      </c>
      <c r="CN414" s="3"/>
      <c r="CO414" s="3"/>
      <c r="CP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R414" s="3"/>
      <c r="DX414" s="3"/>
    </row>
    <row r="415" spans="1:142" ht="15" customHeight="1" x14ac:dyDescent="0.25">
      <c r="A415" s="6" t="s">
        <v>554</v>
      </c>
      <c r="B415" s="2" t="s">
        <v>784</v>
      </c>
      <c r="C415" s="2" t="s">
        <v>1795</v>
      </c>
      <c r="D415" s="25" t="s">
        <v>1706</v>
      </c>
      <c r="E415" s="4" t="s">
        <v>1190</v>
      </c>
      <c r="F415" s="4" t="s">
        <v>1096</v>
      </c>
      <c r="G415" s="26">
        <v>1991</v>
      </c>
      <c r="H415" s="5"/>
      <c r="I415" s="5"/>
      <c r="J415" s="5"/>
      <c r="M415" s="5"/>
      <c r="N415" s="2" t="s">
        <v>1796</v>
      </c>
      <c r="O415" s="28" t="s">
        <v>2757</v>
      </c>
      <c r="P415" s="3"/>
      <c r="Q415" s="27">
        <v>2</v>
      </c>
      <c r="R415" s="3"/>
      <c r="S415" s="3"/>
      <c r="T415" s="3"/>
      <c r="U415" s="3"/>
      <c r="V415" s="3"/>
      <c r="W415" s="3"/>
      <c r="X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R415" s="3"/>
    </row>
    <row r="416" spans="1:142" ht="15" customHeight="1" x14ac:dyDescent="0.25">
      <c r="A416" s="6" t="s">
        <v>555</v>
      </c>
      <c r="B416" s="2" t="s">
        <v>784</v>
      </c>
      <c r="C416" s="2" t="s">
        <v>1797</v>
      </c>
      <c r="D416" s="25" t="s">
        <v>1706</v>
      </c>
      <c r="E416" s="4" t="s">
        <v>1190</v>
      </c>
      <c r="F416" s="4" t="s">
        <v>813</v>
      </c>
      <c r="G416" s="26">
        <v>1995</v>
      </c>
      <c r="H416" s="5"/>
      <c r="I416" s="5"/>
      <c r="J416" s="5"/>
      <c r="M416" s="5"/>
      <c r="N416" s="2" t="s">
        <v>1798</v>
      </c>
      <c r="O416" s="28" t="s">
        <v>2758</v>
      </c>
      <c r="P416" s="3"/>
      <c r="Q416" s="27">
        <v>2</v>
      </c>
      <c r="R416" s="3"/>
      <c r="S416" s="3"/>
      <c r="T416" s="3"/>
      <c r="U416" s="3"/>
      <c r="V416" s="3"/>
      <c r="W416" s="3"/>
      <c r="X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>
        <v>1</v>
      </c>
      <c r="BB416" s="3">
        <v>9</v>
      </c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R416" s="3"/>
    </row>
    <row r="417" spans="1:142" ht="15" customHeight="1" x14ac:dyDescent="0.25">
      <c r="A417" s="6" t="s">
        <v>556</v>
      </c>
      <c r="B417" s="2" t="s">
        <v>784</v>
      </c>
      <c r="C417" s="2" t="s">
        <v>1799</v>
      </c>
      <c r="D417" s="25" t="s">
        <v>1706</v>
      </c>
      <c r="E417" s="4" t="s">
        <v>1190</v>
      </c>
      <c r="F417" s="5"/>
      <c r="G417" s="29"/>
      <c r="H417" s="5"/>
      <c r="I417" s="5"/>
      <c r="J417" s="5"/>
      <c r="M417" s="5"/>
      <c r="N417" s="2" t="s">
        <v>1800</v>
      </c>
      <c r="O417" s="28" t="s">
        <v>2759</v>
      </c>
      <c r="P417" s="3"/>
      <c r="Q417" s="27">
        <v>2</v>
      </c>
      <c r="R417" s="3"/>
      <c r="S417" s="3"/>
      <c r="T417" s="3"/>
      <c r="U417" s="3"/>
      <c r="V417" s="3"/>
      <c r="W417" s="3">
        <v>4</v>
      </c>
      <c r="X417" s="3"/>
      <c r="Z417" s="3"/>
      <c r="AA417" s="3"/>
      <c r="AB417" s="3">
        <v>1</v>
      </c>
      <c r="AC417" s="3">
        <v>5</v>
      </c>
      <c r="AD417" s="3"/>
      <c r="AE417" s="3"/>
      <c r="AF417" s="3">
        <v>1</v>
      </c>
      <c r="AG417" s="3"/>
      <c r="AH417" s="3"/>
      <c r="AI417" s="3"/>
      <c r="AJ417" s="3">
        <v>1</v>
      </c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>
        <v>3</v>
      </c>
      <c r="AY417" s="3"/>
      <c r="AZ417" s="3">
        <v>1</v>
      </c>
      <c r="BA417" s="3">
        <v>1</v>
      </c>
      <c r="BB417" s="3">
        <v>9</v>
      </c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>
        <v>5</v>
      </c>
      <c r="BR417" s="3"/>
      <c r="BS417" s="3">
        <v>8</v>
      </c>
      <c r="BT417" s="19">
        <v>9</v>
      </c>
      <c r="BU417" s="3"/>
      <c r="BV417" s="19">
        <v>3</v>
      </c>
      <c r="BW417" s="3"/>
      <c r="BX417" s="19">
        <v>6</v>
      </c>
      <c r="BY417" s="19">
        <v>5</v>
      </c>
      <c r="BZ417" s="19">
        <v>7</v>
      </c>
      <c r="CA417" s="19">
        <v>6</v>
      </c>
      <c r="CB417" s="19">
        <v>3</v>
      </c>
      <c r="CC417" s="3"/>
      <c r="CD417" s="3">
        <v>7</v>
      </c>
      <c r="CE417" s="19">
        <v>7</v>
      </c>
      <c r="CF417" s="3">
        <v>3</v>
      </c>
      <c r="CG417" s="19">
        <v>5</v>
      </c>
      <c r="CH417" s="3">
        <v>7</v>
      </c>
      <c r="CI417" s="3">
        <v>8</v>
      </c>
      <c r="CJ417" s="3">
        <v>3</v>
      </c>
      <c r="CK417" s="3">
        <v>9</v>
      </c>
      <c r="CL417" s="3"/>
      <c r="CM417" s="3"/>
      <c r="CN417" s="3"/>
      <c r="CO417" s="3"/>
      <c r="CP417" s="3"/>
      <c r="CT417" s="3"/>
      <c r="CU417" s="3"/>
      <c r="CV417" s="3">
        <v>7</v>
      </c>
      <c r="CW417" s="3">
        <v>7</v>
      </c>
      <c r="CX417" s="3">
        <v>7</v>
      </c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R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</row>
    <row r="418" spans="1:142" ht="15" customHeight="1" x14ac:dyDescent="0.25">
      <c r="A418" s="6" t="s">
        <v>557</v>
      </c>
      <c r="B418" s="2" t="s">
        <v>784</v>
      </c>
      <c r="C418" s="2" t="s">
        <v>1801</v>
      </c>
      <c r="D418" s="25" t="s">
        <v>1706</v>
      </c>
      <c r="E418" s="4" t="s">
        <v>1190</v>
      </c>
      <c r="F418" s="4" t="s">
        <v>1243</v>
      </c>
      <c r="G418" s="29"/>
      <c r="H418" s="5"/>
      <c r="I418" s="5"/>
      <c r="J418" s="5"/>
      <c r="M418" s="5"/>
      <c r="N418" s="2" t="s">
        <v>1802</v>
      </c>
      <c r="O418" s="28" t="s">
        <v>2760</v>
      </c>
      <c r="P418" s="3"/>
      <c r="Q418" s="27">
        <v>2</v>
      </c>
      <c r="R418" s="3"/>
      <c r="S418" s="3"/>
      <c r="T418" s="3"/>
      <c r="U418" s="3"/>
      <c r="V418" s="3"/>
      <c r="W418" s="3"/>
      <c r="X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R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</row>
    <row r="419" spans="1:142" ht="15" customHeight="1" x14ac:dyDescent="0.25">
      <c r="A419" s="6" t="s">
        <v>558</v>
      </c>
      <c r="B419" s="2" t="s">
        <v>784</v>
      </c>
      <c r="C419" s="2" t="s">
        <v>1803</v>
      </c>
      <c r="D419" s="25" t="s">
        <v>1706</v>
      </c>
      <c r="E419" s="4" t="s">
        <v>1190</v>
      </c>
      <c r="F419" s="4" t="s">
        <v>1160</v>
      </c>
      <c r="G419" s="26">
        <v>1996</v>
      </c>
      <c r="H419" s="5"/>
      <c r="I419" s="5"/>
      <c r="J419" s="5"/>
      <c r="M419" s="5"/>
      <c r="N419" s="2" t="s">
        <v>1804</v>
      </c>
      <c r="O419" s="28" t="s">
        <v>2761</v>
      </c>
      <c r="P419" s="3"/>
      <c r="Q419" s="27"/>
      <c r="R419" s="3"/>
      <c r="S419" s="3"/>
      <c r="T419" s="3"/>
      <c r="U419" s="3"/>
      <c r="V419" s="3"/>
      <c r="W419" s="3">
        <v>4</v>
      </c>
      <c r="X419" s="3"/>
      <c r="Z419" s="3"/>
      <c r="AA419" s="3"/>
      <c r="AB419" s="3">
        <v>7</v>
      </c>
      <c r="AC419" s="3">
        <v>7</v>
      </c>
      <c r="AD419" s="3"/>
      <c r="AE419" s="3"/>
      <c r="AF419" s="3">
        <v>1</v>
      </c>
      <c r="AG419" s="3"/>
      <c r="AH419" s="3"/>
      <c r="AI419" s="3"/>
      <c r="AJ419" s="3">
        <v>3</v>
      </c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>
        <v>1</v>
      </c>
      <c r="AY419" s="3"/>
      <c r="AZ419" s="3">
        <v>5</v>
      </c>
      <c r="BA419" s="3"/>
      <c r="BB419" s="3">
        <v>9</v>
      </c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R419" s="3"/>
    </row>
    <row r="420" spans="1:142" ht="15" customHeight="1" x14ac:dyDescent="0.25">
      <c r="A420" s="6" t="s">
        <v>559</v>
      </c>
      <c r="B420" s="2" t="s">
        <v>784</v>
      </c>
      <c r="C420" s="2" t="s">
        <v>1805</v>
      </c>
      <c r="D420" s="25" t="s">
        <v>1706</v>
      </c>
      <c r="E420" s="4" t="s">
        <v>1190</v>
      </c>
      <c r="F420" s="4" t="s">
        <v>793</v>
      </c>
      <c r="G420" s="26">
        <v>1995</v>
      </c>
      <c r="H420" s="5"/>
      <c r="I420" s="5"/>
      <c r="J420" s="5"/>
      <c r="M420" s="5" t="s">
        <v>1722</v>
      </c>
      <c r="N420" s="2" t="s">
        <v>1806</v>
      </c>
      <c r="O420" s="28" t="s">
        <v>2762</v>
      </c>
      <c r="P420" s="3"/>
      <c r="Q420" s="27"/>
      <c r="R420" s="3"/>
      <c r="S420" s="3"/>
      <c r="T420" s="3"/>
      <c r="U420" s="3"/>
      <c r="V420" s="3"/>
      <c r="W420" s="3">
        <v>4</v>
      </c>
      <c r="X420" s="3"/>
      <c r="Z420" s="3"/>
      <c r="AA420" s="3"/>
      <c r="AB420" s="3">
        <v>7</v>
      </c>
      <c r="AC420" s="3">
        <v>7</v>
      </c>
      <c r="AD420" s="3"/>
      <c r="AE420" s="3"/>
      <c r="AF420" s="3">
        <v>1</v>
      </c>
      <c r="AG420" s="3"/>
      <c r="AH420" s="3"/>
      <c r="AI420" s="3"/>
      <c r="AJ420" s="3">
        <v>2</v>
      </c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>
        <v>1</v>
      </c>
      <c r="AY420" s="3"/>
      <c r="AZ420" s="3">
        <v>1</v>
      </c>
      <c r="BA420" s="3"/>
      <c r="BB420" s="3">
        <v>9</v>
      </c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R420" s="3"/>
    </row>
    <row r="421" spans="1:142" ht="15" customHeight="1" x14ac:dyDescent="0.25">
      <c r="A421" s="6" t="s">
        <v>560</v>
      </c>
      <c r="B421" s="2" t="s">
        <v>784</v>
      </c>
      <c r="C421" s="2" t="s">
        <v>1807</v>
      </c>
      <c r="D421" s="25" t="s">
        <v>1706</v>
      </c>
      <c r="E421" s="4" t="s">
        <v>1190</v>
      </c>
      <c r="F421" s="4" t="s">
        <v>793</v>
      </c>
      <c r="G421" s="26">
        <v>1995</v>
      </c>
      <c r="H421" s="5"/>
      <c r="I421" s="5"/>
      <c r="J421" s="5"/>
      <c r="M421" s="5"/>
      <c r="N421" s="2" t="s">
        <v>1808</v>
      </c>
      <c r="O421" s="28" t="s">
        <v>2763</v>
      </c>
      <c r="P421" s="3"/>
      <c r="Q421" s="27"/>
      <c r="R421" s="3"/>
      <c r="S421" s="3"/>
      <c r="T421" s="3"/>
      <c r="U421" s="3"/>
      <c r="V421" s="3"/>
      <c r="W421" s="3">
        <v>4</v>
      </c>
      <c r="X421" s="3"/>
      <c r="Z421" s="3"/>
      <c r="AA421" s="3"/>
      <c r="AB421" s="3">
        <v>7</v>
      </c>
      <c r="AC421" s="3">
        <v>7</v>
      </c>
      <c r="AD421" s="3"/>
      <c r="AE421" s="3"/>
      <c r="AF421" s="3">
        <v>1</v>
      </c>
      <c r="AG421" s="3"/>
      <c r="AH421" s="3"/>
      <c r="AI421" s="3"/>
      <c r="AJ421" s="3">
        <v>2</v>
      </c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>
        <v>1</v>
      </c>
      <c r="AY421" s="3"/>
      <c r="AZ421" s="3">
        <v>1</v>
      </c>
      <c r="BA421" s="3"/>
      <c r="BB421" s="3">
        <v>9</v>
      </c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R421" s="3"/>
    </row>
    <row r="422" spans="1:142" ht="15" customHeight="1" x14ac:dyDescent="0.25">
      <c r="A422" s="6" t="s">
        <v>561</v>
      </c>
      <c r="B422" s="2" t="s">
        <v>784</v>
      </c>
      <c r="C422" s="2" t="s">
        <v>1809</v>
      </c>
      <c r="D422" s="25" t="s">
        <v>1810</v>
      </c>
      <c r="E422" s="4" t="s">
        <v>1190</v>
      </c>
      <c r="F422" s="4" t="s">
        <v>1419</v>
      </c>
      <c r="G422" s="26">
        <v>1999</v>
      </c>
      <c r="H422" s="5"/>
      <c r="I422" s="5"/>
      <c r="J422" s="5"/>
      <c r="M422" s="5"/>
      <c r="N422" s="2" t="s">
        <v>1811</v>
      </c>
      <c r="O422" s="28" t="s">
        <v>2764</v>
      </c>
      <c r="P422" s="3"/>
      <c r="Q422" s="27"/>
      <c r="R422" s="3"/>
      <c r="S422" s="3"/>
      <c r="T422" s="3"/>
      <c r="U422" s="3"/>
      <c r="V422" s="3"/>
      <c r="W422" s="3">
        <v>4</v>
      </c>
      <c r="X422" s="3"/>
      <c r="Z422" s="3"/>
      <c r="AA422" s="3"/>
      <c r="AB422" s="3">
        <v>8</v>
      </c>
      <c r="AC422" s="3">
        <v>5</v>
      </c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>
        <v>3</v>
      </c>
      <c r="AY422" s="3"/>
      <c r="AZ422" s="3"/>
      <c r="BA422" s="3">
        <v>1</v>
      </c>
      <c r="BB422" s="3">
        <v>9</v>
      </c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R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</row>
    <row r="423" spans="1:142" ht="15" customHeight="1" x14ac:dyDescent="0.25">
      <c r="A423" s="6" t="s">
        <v>562</v>
      </c>
      <c r="B423" s="2" t="s">
        <v>784</v>
      </c>
      <c r="C423" s="2" t="s">
        <v>1812</v>
      </c>
      <c r="D423" s="25" t="s">
        <v>1706</v>
      </c>
      <c r="E423" s="4" t="s">
        <v>1190</v>
      </c>
      <c r="F423" s="4" t="s">
        <v>1160</v>
      </c>
      <c r="G423" s="26">
        <v>1998</v>
      </c>
      <c r="H423" s="5"/>
      <c r="I423" s="5"/>
      <c r="J423" s="5"/>
      <c r="M423" s="5"/>
      <c r="N423" s="2" t="s">
        <v>1813</v>
      </c>
      <c r="O423" s="28" t="s">
        <v>2765</v>
      </c>
      <c r="P423" s="3"/>
      <c r="Q423" s="27"/>
      <c r="R423" s="3"/>
      <c r="S423" s="3"/>
      <c r="T423" s="3"/>
      <c r="U423" s="3"/>
      <c r="V423" s="3"/>
      <c r="W423" s="3">
        <v>4</v>
      </c>
      <c r="X423" s="3"/>
      <c r="Z423" s="3"/>
      <c r="AA423" s="3"/>
      <c r="AB423" s="3"/>
      <c r="AC423" s="3">
        <v>8</v>
      </c>
      <c r="AD423" s="3"/>
      <c r="AE423" s="3"/>
      <c r="AF423" s="3">
        <v>1</v>
      </c>
      <c r="AG423" s="3"/>
      <c r="AH423" s="3"/>
      <c r="AI423" s="3"/>
      <c r="AJ423" s="3">
        <v>5</v>
      </c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>
        <v>1</v>
      </c>
      <c r="AY423" s="3"/>
      <c r="AZ423" s="3">
        <v>5</v>
      </c>
      <c r="BA423" s="3">
        <v>1</v>
      </c>
      <c r="BB423" s="3">
        <v>9</v>
      </c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R423" s="3"/>
    </row>
    <row r="424" spans="1:142" ht="15" customHeight="1" x14ac:dyDescent="0.25">
      <c r="A424" s="6" t="s">
        <v>563</v>
      </c>
      <c r="B424" s="2" t="s">
        <v>784</v>
      </c>
      <c r="C424" s="2" t="s">
        <v>1814</v>
      </c>
      <c r="D424" s="25" t="s">
        <v>1706</v>
      </c>
      <c r="E424" s="4" t="s">
        <v>1190</v>
      </c>
      <c r="F424" s="4" t="s">
        <v>793</v>
      </c>
      <c r="G424" s="26">
        <v>1996</v>
      </c>
      <c r="H424" s="5"/>
      <c r="I424" s="5"/>
      <c r="J424" s="5"/>
      <c r="M424" s="5"/>
      <c r="N424" s="2" t="s">
        <v>1815</v>
      </c>
      <c r="O424" s="28" t="s">
        <v>2766</v>
      </c>
      <c r="P424" s="3"/>
      <c r="Q424" s="27"/>
      <c r="R424" s="3"/>
      <c r="S424" s="3"/>
      <c r="T424" s="3"/>
      <c r="U424" s="3"/>
      <c r="V424" s="3"/>
      <c r="W424" s="3">
        <v>3</v>
      </c>
      <c r="X424" s="3"/>
      <c r="Z424" s="3"/>
      <c r="AA424" s="3"/>
      <c r="AB424" s="3">
        <v>7</v>
      </c>
      <c r="AC424" s="3">
        <v>7</v>
      </c>
      <c r="AD424" s="3"/>
      <c r="AE424" s="3"/>
      <c r="AF424" s="3">
        <v>1</v>
      </c>
      <c r="AG424" s="3"/>
      <c r="AH424" s="3"/>
      <c r="AI424" s="3"/>
      <c r="AJ424" s="3">
        <v>5</v>
      </c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>
        <v>1</v>
      </c>
      <c r="AY424" s="3"/>
      <c r="AZ424" s="3">
        <v>2</v>
      </c>
      <c r="BA424" s="3">
        <v>1</v>
      </c>
      <c r="BB424" s="3">
        <v>1</v>
      </c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R424" s="3"/>
    </row>
    <row r="425" spans="1:142" ht="15" customHeight="1" x14ac:dyDescent="0.25">
      <c r="A425" s="6" t="s">
        <v>564</v>
      </c>
      <c r="B425" s="2" t="s">
        <v>784</v>
      </c>
      <c r="C425" s="2" t="s">
        <v>1816</v>
      </c>
      <c r="D425" s="25" t="s">
        <v>1810</v>
      </c>
      <c r="E425" s="4" t="s">
        <v>1190</v>
      </c>
      <c r="F425" s="4" t="s">
        <v>1387</v>
      </c>
      <c r="G425" s="26">
        <v>1990</v>
      </c>
      <c r="H425" s="5"/>
      <c r="I425" s="5"/>
      <c r="J425" s="5"/>
      <c r="K425" s="3"/>
      <c r="M425" s="5"/>
      <c r="N425" s="2" t="s">
        <v>1817</v>
      </c>
      <c r="O425" s="28" t="s">
        <v>2767</v>
      </c>
      <c r="P425" s="3"/>
      <c r="Q425" s="27">
        <v>2</v>
      </c>
      <c r="R425" s="3"/>
      <c r="S425" s="3"/>
      <c r="T425" s="3"/>
      <c r="U425" s="3"/>
      <c r="V425" s="3"/>
      <c r="W425" s="3">
        <v>4</v>
      </c>
      <c r="X425" s="3"/>
      <c r="Z425" s="3"/>
      <c r="AA425" s="3"/>
      <c r="AB425" s="3"/>
      <c r="AC425" s="3">
        <v>8</v>
      </c>
      <c r="AD425" s="3"/>
      <c r="AE425" s="3"/>
      <c r="AF425" s="3">
        <v>1</v>
      </c>
      <c r="AG425" s="3"/>
      <c r="AH425" s="3"/>
      <c r="AI425" s="3">
        <v>1</v>
      </c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>
        <v>9</v>
      </c>
      <c r="AX425" s="3"/>
      <c r="AY425" s="3">
        <v>1</v>
      </c>
      <c r="AZ425" s="3"/>
      <c r="BA425" s="3">
        <v>1</v>
      </c>
      <c r="BB425" s="3">
        <v>9</v>
      </c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>
        <v>2</v>
      </c>
      <c r="BN425" s="3">
        <v>4</v>
      </c>
      <c r="BO425" s="3"/>
      <c r="BP425" s="3"/>
      <c r="BQ425" s="3">
        <v>1</v>
      </c>
      <c r="BR425" s="3">
        <v>1</v>
      </c>
      <c r="BS425" s="3"/>
      <c r="BT425" s="19">
        <v>1</v>
      </c>
      <c r="BU425" s="3">
        <v>1</v>
      </c>
      <c r="BV425" s="19">
        <v>1</v>
      </c>
      <c r="BW425" s="19">
        <v>1</v>
      </c>
      <c r="BX425" s="19">
        <v>7</v>
      </c>
      <c r="BY425" s="19">
        <v>1</v>
      </c>
      <c r="BZ425" s="19">
        <v>1</v>
      </c>
      <c r="CA425" s="19">
        <v>1</v>
      </c>
      <c r="CB425" s="19">
        <v>1</v>
      </c>
      <c r="CC425" s="19">
        <v>1</v>
      </c>
      <c r="CD425" s="3">
        <v>1</v>
      </c>
      <c r="CE425" s="19">
        <v>1</v>
      </c>
      <c r="CF425" s="3">
        <v>1</v>
      </c>
      <c r="CG425" s="19">
        <v>1</v>
      </c>
      <c r="CH425" s="3">
        <v>1</v>
      </c>
      <c r="CI425" s="3">
        <v>1</v>
      </c>
      <c r="CJ425" s="3"/>
      <c r="CK425" s="3">
        <v>1</v>
      </c>
      <c r="CL425" s="3">
        <v>5</v>
      </c>
      <c r="CM425" s="3"/>
      <c r="CN425" s="3"/>
      <c r="CO425" s="3"/>
      <c r="CP425" s="3"/>
      <c r="CT425" s="3">
        <v>1</v>
      </c>
      <c r="CU425" s="3">
        <v>1</v>
      </c>
      <c r="CV425" s="3">
        <v>1</v>
      </c>
      <c r="CW425" s="3">
        <v>1</v>
      </c>
      <c r="CX425" s="3">
        <v>1</v>
      </c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>
        <v>1</v>
      </c>
      <c r="DM425" s="3">
        <v>1</v>
      </c>
      <c r="DN425" s="3"/>
      <c r="DO425" s="3"/>
      <c r="DP425" s="3"/>
      <c r="DR425" s="3"/>
      <c r="DS425" s="3"/>
      <c r="DT425" s="3"/>
    </row>
    <row r="426" spans="1:142" ht="15" customHeight="1" x14ac:dyDescent="0.25">
      <c r="A426" s="6" t="s">
        <v>565</v>
      </c>
      <c r="B426" s="2" t="s">
        <v>784</v>
      </c>
      <c r="C426" s="2" t="s">
        <v>1818</v>
      </c>
      <c r="D426" s="25" t="s">
        <v>1810</v>
      </c>
      <c r="E426" s="4" t="s">
        <v>1190</v>
      </c>
      <c r="F426" s="4" t="s">
        <v>1387</v>
      </c>
      <c r="G426" s="26">
        <v>1990</v>
      </c>
      <c r="H426" s="5"/>
      <c r="I426" s="5"/>
      <c r="J426" s="5"/>
      <c r="K426" s="3"/>
      <c r="M426" s="5"/>
      <c r="N426" s="2" t="s">
        <v>1819</v>
      </c>
      <c r="O426" s="28" t="s">
        <v>2768</v>
      </c>
      <c r="P426" s="3"/>
      <c r="Q426" s="27">
        <v>2</v>
      </c>
      <c r="R426" s="3"/>
      <c r="S426" s="3"/>
      <c r="T426" s="3"/>
      <c r="U426" s="3"/>
      <c r="V426" s="3"/>
      <c r="W426" s="3">
        <v>3</v>
      </c>
      <c r="X426" s="3"/>
      <c r="Z426" s="3"/>
      <c r="AA426" s="3"/>
      <c r="AB426" s="3">
        <v>8</v>
      </c>
      <c r="AC426" s="3">
        <v>7</v>
      </c>
      <c r="AD426" s="3"/>
      <c r="AE426" s="3"/>
      <c r="AF426" s="3">
        <v>1</v>
      </c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>
        <v>9</v>
      </c>
      <c r="AX426" s="3">
        <v>3</v>
      </c>
      <c r="AY426" s="3">
        <v>1</v>
      </c>
      <c r="AZ426" s="3">
        <v>1</v>
      </c>
      <c r="BA426" s="3">
        <v>1</v>
      </c>
      <c r="BB426" s="3">
        <v>9</v>
      </c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>
        <v>4</v>
      </c>
      <c r="BO426" s="3"/>
      <c r="BP426" s="3"/>
      <c r="BQ426" s="3">
        <v>1</v>
      </c>
      <c r="BR426" s="3">
        <v>1</v>
      </c>
      <c r="BS426" s="3"/>
      <c r="BT426" s="19">
        <v>1</v>
      </c>
      <c r="BU426" s="3">
        <v>1</v>
      </c>
      <c r="BV426" s="19">
        <v>1</v>
      </c>
      <c r="BW426" s="19">
        <v>1</v>
      </c>
      <c r="BX426" s="19">
        <v>9</v>
      </c>
      <c r="BY426" s="19">
        <v>1</v>
      </c>
      <c r="BZ426" s="19">
        <v>1</v>
      </c>
      <c r="CA426" s="19">
        <v>1</v>
      </c>
      <c r="CB426" s="19">
        <v>1</v>
      </c>
      <c r="CC426" s="19">
        <v>1</v>
      </c>
      <c r="CD426" s="3">
        <v>1</v>
      </c>
      <c r="CE426" s="19">
        <v>1</v>
      </c>
      <c r="CF426" s="3">
        <v>1</v>
      </c>
      <c r="CG426" s="19">
        <v>1</v>
      </c>
      <c r="CH426" s="3">
        <v>1</v>
      </c>
      <c r="CI426" s="3">
        <v>1</v>
      </c>
      <c r="CJ426" s="3">
        <v>1</v>
      </c>
      <c r="CK426" s="3">
        <v>1</v>
      </c>
      <c r="CL426" s="3">
        <v>1</v>
      </c>
      <c r="CM426" s="19">
        <v>1</v>
      </c>
      <c r="CN426" s="3"/>
      <c r="CO426" s="3"/>
      <c r="CP426" s="3"/>
      <c r="CT426" s="3">
        <v>1</v>
      </c>
      <c r="CU426" s="3">
        <v>1</v>
      </c>
      <c r="CV426" s="3">
        <v>1</v>
      </c>
      <c r="CW426" s="3">
        <v>1</v>
      </c>
      <c r="CX426" s="3">
        <v>1</v>
      </c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R426" s="3"/>
      <c r="DS426" s="3"/>
      <c r="DT426" s="3"/>
      <c r="DX426" s="3"/>
    </row>
    <row r="427" spans="1:142" ht="15" customHeight="1" x14ac:dyDescent="0.25">
      <c r="A427" s="6" t="s">
        <v>566</v>
      </c>
      <c r="B427" s="2" t="s">
        <v>784</v>
      </c>
      <c r="C427" s="2" t="s">
        <v>1820</v>
      </c>
      <c r="D427" s="25" t="s">
        <v>1810</v>
      </c>
      <c r="E427" s="4" t="s">
        <v>1190</v>
      </c>
      <c r="F427" s="4" t="s">
        <v>1387</v>
      </c>
      <c r="G427" s="26">
        <v>1990</v>
      </c>
      <c r="H427" s="5"/>
      <c r="I427" s="5"/>
      <c r="J427" s="5"/>
      <c r="M427" s="5"/>
      <c r="N427" s="2" t="s">
        <v>1821</v>
      </c>
      <c r="O427" s="28" t="s">
        <v>2769</v>
      </c>
      <c r="P427" s="3"/>
      <c r="Q427" s="27">
        <v>2</v>
      </c>
      <c r="R427" s="3"/>
      <c r="S427" s="3"/>
      <c r="T427" s="3"/>
      <c r="U427" s="3"/>
      <c r="V427" s="3"/>
      <c r="W427" s="3">
        <v>3</v>
      </c>
      <c r="X427" s="3"/>
      <c r="Z427" s="3"/>
      <c r="AA427" s="3"/>
      <c r="AB427" s="3">
        <v>8</v>
      </c>
      <c r="AC427" s="3">
        <v>6</v>
      </c>
      <c r="AD427" s="3"/>
      <c r="AE427" s="3"/>
      <c r="AF427" s="3">
        <v>1</v>
      </c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>
        <v>9</v>
      </c>
      <c r="AX427" s="3">
        <v>4</v>
      </c>
      <c r="AY427" s="3">
        <v>1</v>
      </c>
      <c r="AZ427" s="3">
        <v>1</v>
      </c>
      <c r="BA427" s="3">
        <v>1</v>
      </c>
      <c r="BB427" s="3">
        <v>9</v>
      </c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>
        <v>4</v>
      </c>
      <c r="BO427" s="3"/>
      <c r="BP427" s="3"/>
      <c r="BQ427" s="3">
        <v>1</v>
      </c>
      <c r="BR427" s="3">
        <v>1</v>
      </c>
      <c r="BS427" s="3"/>
      <c r="BT427" s="19">
        <v>1</v>
      </c>
      <c r="BU427" s="3">
        <v>1</v>
      </c>
      <c r="BV427" s="19">
        <v>1</v>
      </c>
      <c r="BW427" s="19">
        <v>1</v>
      </c>
      <c r="BX427" s="19">
        <v>9</v>
      </c>
      <c r="BY427" s="19">
        <v>1</v>
      </c>
      <c r="BZ427" s="19">
        <v>1</v>
      </c>
      <c r="CA427" s="19">
        <v>1</v>
      </c>
      <c r="CB427" s="19">
        <v>1</v>
      </c>
      <c r="CC427" s="19">
        <v>1</v>
      </c>
      <c r="CD427" s="3">
        <v>1</v>
      </c>
      <c r="CE427" s="19">
        <v>1</v>
      </c>
      <c r="CF427" s="3">
        <v>1</v>
      </c>
      <c r="CG427" s="19">
        <v>1</v>
      </c>
      <c r="CH427" s="3">
        <v>1</v>
      </c>
      <c r="CI427" s="3">
        <v>1</v>
      </c>
      <c r="CJ427" s="3">
        <v>1</v>
      </c>
      <c r="CK427" s="3">
        <v>1</v>
      </c>
      <c r="CL427" s="3"/>
      <c r="CM427" s="19">
        <v>9</v>
      </c>
      <c r="CN427" s="3"/>
      <c r="CO427" s="3"/>
      <c r="CP427" s="3"/>
      <c r="CT427" s="3">
        <v>1</v>
      </c>
      <c r="CU427" s="3">
        <v>1</v>
      </c>
      <c r="CV427" s="3">
        <v>1</v>
      </c>
      <c r="CW427" s="3">
        <v>1</v>
      </c>
      <c r="CX427" s="3">
        <v>1</v>
      </c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R427" s="3"/>
    </row>
    <row r="428" spans="1:142" s="3" customFormat="1" ht="15" customHeight="1" x14ac:dyDescent="0.25">
      <c r="A428" s="6" t="s">
        <v>567</v>
      </c>
      <c r="B428" s="2" t="s">
        <v>784</v>
      </c>
      <c r="C428" s="2" t="s">
        <v>1822</v>
      </c>
      <c r="D428" s="25" t="s">
        <v>1810</v>
      </c>
      <c r="E428" s="4" t="s">
        <v>1190</v>
      </c>
      <c r="F428" s="4" t="s">
        <v>1387</v>
      </c>
      <c r="G428" s="26">
        <v>1990</v>
      </c>
      <c r="H428" s="5"/>
      <c r="I428" s="5"/>
      <c r="J428" s="5"/>
      <c r="K428" s="1"/>
      <c r="L428" s="2"/>
      <c r="M428" s="5"/>
      <c r="N428" s="2" t="s">
        <v>1823</v>
      </c>
      <c r="O428" s="28" t="s">
        <v>2770</v>
      </c>
      <c r="Q428" s="27">
        <v>2</v>
      </c>
      <c r="W428" s="3">
        <v>3</v>
      </c>
      <c r="AB428" s="3">
        <v>8</v>
      </c>
      <c r="AC428" s="3">
        <v>7</v>
      </c>
      <c r="AF428" s="3">
        <v>1</v>
      </c>
      <c r="AW428" s="3">
        <v>9</v>
      </c>
      <c r="AX428" s="3">
        <v>4</v>
      </c>
      <c r="AY428" s="3">
        <v>1</v>
      </c>
      <c r="AZ428" s="3">
        <v>1</v>
      </c>
      <c r="BA428" s="3">
        <v>1</v>
      </c>
      <c r="BB428" s="3">
        <v>9</v>
      </c>
      <c r="BM428" s="3">
        <v>4</v>
      </c>
      <c r="BN428" s="3">
        <v>3</v>
      </c>
      <c r="BQ428" s="3">
        <v>1</v>
      </c>
      <c r="BR428" s="3">
        <v>1</v>
      </c>
      <c r="BT428" s="19">
        <v>2</v>
      </c>
      <c r="BU428" s="3">
        <v>1</v>
      </c>
      <c r="BV428" s="19">
        <v>3</v>
      </c>
      <c r="BW428" s="19">
        <v>1</v>
      </c>
      <c r="BX428" s="19">
        <v>9</v>
      </c>
      <c r="BY428" s="19">
        <v>1</v>
      </c>
      <c r="BZ428" s="19">
        <v>1</v>
      </c>
      <c r="CA428" s="19">
        <v>3</v>
      </c>
      <c r="CB428" s="19">
        <v>1</v>
      </c>
      <c r="CC428" s="19">
        <v>1</v>
      </c>
      <c r="CD428" s="3">
        <v>1</v>
      </c>
      <c r="CE428" s="19">
        <v>2</v>
      </c>
      <c r="CF428" s="3">
        <v>1</v>
      </c>
      <c r="CG428" s="19">
        <v>1</v>
      </c>
      <c r="CH428" s="3">
        <v>1</v>
      </c>
      <c r="CI428" s="3">
        <v>1</v>
      </c>
      <c r="CJ428" s="3">
        <v>2</v>
      </c>
      <c r="CK428" s="3">
        <v>1</v>
      </c>
      <c r="CL428" s="3">
        <v>1</v>
      </c>
      <c r="CT428" s="3">
        <v>1</v>
      </c>
      <c r="CU428" s="3">
        <v>2</v>
      </c>
      <c r="CV428" s="3">
        <v>1</v>
      </c>
      <c r="CW428" s="3">
        <v>1</v>
      </c>
      <c r="CX428" s="3">
        <v>1</v>
      </c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</row>
    <row r="429" spans="1:142" s="3" customFormat="1" ht="15" customHeight="1" x14ac:dyDescent="0.25">
      <c r="A429" s="6" t="s">
        <v>568</v>
      </c>
      <c r="B429" s="2" t="s">
        <v>784</v>
      </c>
      <c r="C429" s="2" t="s">
        <v>1824</v>
      </c>
      <c r="D429" s="25" t="s">
        <v>1810</v>
      </c>
      <c r="E429" s="4" t="s">
        <v>1190</v>
      </c>
      <c r="F429" s="4" t="s">
        <v>1387</v>
      </c>
      <c r="G429" s="26">
        <v>1990</v>
      </c>
      <c r="H429" s="5"/>
      <c r="I429" s="5"/>
      <c r="J429" s="5"/>
      <c r="K429" s="1"/>
      <c r="L429" s="2"/>
      <c r="M429" s="5"/>
      <c r="N429" s="2" t="s">
        <v>1825</v>
      </c>
      <c r="O429" s="28" t="s">
        <v>2771</v>
      </c>
      <c r="Q429" s="27">
        <v>2</v>
      </c>
      <c r="W429" s="3">
        <v>3</v>
      </c>
      <c r="AB429" s="3">
        <v>8</v>
      </c>
      <c r="AC429" s="3">
        <v>6</v>
      </c>
      <c r="AF429" s="3">
        <v>1</v>
      </c>
      <c r="AW429" s="3">
        <v>9</v>
      </c>
      <c r="AX429" s="3">
        <v>4</v>
      </c>
      <c r="AY429" s="3">
        <v>1</v>
      </c>
      <c r="AZ429" s="3">
        <v>1</v>
      </c>
      <c r="BA429" s="3">
        <v>1</v>
      </c>
      <c r="BB429" s="3">
        <v>9</v>
      </c>
      <c r="BM429" s="3">
        <v>1</v>
      </c>
      <c r="BQ429" s="3">
        <v>1</v>
      </c>
      <c r="BR429" s="3">
        <v>1</v>
      </c>
      <c r="BT429" s="19">
        <v>1</v>
      </c>
      <c r="BU429" s="3">
        <v>1</v>
      </c>
      <c r="BV429" s="19">
        <v>1</v>
      </c>
      <c r="BW429" s="19">
        <v>1</v>
      </c>
      <c r="BX429" s="19">
        <v>9</v>
      </c>
      <c r="BY429" s="19">
        <v>1</v>
      </c>
      <c r="BZ429" s="19">
        <v>1</v>
      </c>
      <c r="CA429" s="19">
        <v>1</v>
      </c>
      <c r="CB429" s="19">
        <v>1</v>
      </c>
      <c r="CC429" s="19">
        <v>1</v>
      </c>
      <c r="CD429" s="3">
        <v>1</v>
      </c>
      <c r="CE429" s="19">
        <v>1</v>
      </c>
      <c r="CF429" s="3">
        <v>1</v>
      </c>
      <c r="CG429" s="19">
        <v>1</v>
      </c>
      <c r="CH429" s="3">
        <v>1</v>
      </c>
      <c r="CI429" s="3">
        <v>1</v>
      </c>
      <c r="CJ429" s="3">
        <v>1</v>
      </c>
      <c r="CK429" s="3">
        <v>1</v>
      </c>
      <c r="CL429" s="3">
        <v>1</v>
      </c>
      <c r="CM429" s="19">
        <v>1</v>
      </c>
      <c r="CT429" s="3">
        <v>1</v>
      </c>
      <c r="CU429" s="3">
        <v>1</v>
      </c>
      <c r="CV429" s="3">
        <v>1</v>
      </c>
      <c r="CW429" s="3">
        <v>1</v>
      </c>
      <c r="CX429" s="3">
        <v>1</v>
      </c>
      <c r="DS429" s="1"/>
      <c r="DT429" s="1"/>
      <c r="DU429" s="1"/>
      <c r="DV429" s="1"/>
      <c r="DW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</row>
    <row r="430" spans="1:142" s="3" customFormat="1" ht="15" customHeight="1" x14ac:dyDescent="0.25">
      <c r="A430" s="6" t="s">
        <v>1867</v>
      </c>
      <c r="B430" s="2" t="s">
        <v>784</v>
      </c>
      <c r="C430" s="2" t="s">
        <v>1878</v>
      </c>
      <c r="D430" s="25" t="s">
        <v>1810</v>
      </c>
      <c r="E430" s="4" t="s">
        <v>1190</v>
      </c>
      <c r="F430" s="4" t="s">
        <v>1378</v>
      </c>
      <c r="G430" s="26">
        <v>1990</v>
      </c>
      <c r="H430" s="5"/>
      <c r="I430" s="5"/>
      <c r="J430" s="5"/>
      <c r="K430" s="1"/>
      <c r="L430" s="2"/>
      <c r="M430" s="5"/>
      <c r="N430" s="2" t="s">
        <v>1879</v>
      </c>
      <c r="O430" s="28" t="s">
        <v>2772</v>
      </c>
      <c r="Q430" s="27">
        <v>2</v>
      </c>
      <c r="AF430" s="3">
        <v>1</v>
      </c>
      <c r="BT430" s="19"/>
      <c r="BV430" s="19"/>
      <c r="BW430" s="19"/>
      <c r="BX430" s="19"/>
      <c r="BY430" s="19"/>
      <c r="BZ430" s="19"/>
      <c r="CA430" s="19"/>
      <c r="CB430" s="19"/>
      <c r="CC430" s="19"/>
      <c r="CD430" s="3">
        <v>1</v>
      </c>
      <c r="CE430" s="19"/>
      <c r="CG430" s="19"/>
      <c r="CH430" s="3">
        <v>7</v>
      </c>
      <c r="CI430" s="3">
        <v>5</v>
      </c>
      <c r="CL430" s="3">
        <v>9</v>
      </c>
      <c r="CM430" s="19">
        <v>9</v>
      </c>
      <c r="DL430" s="3">
        <v>1</v>
      </c>
      <c r="DM430" s="3">
        <v>1</v>
      </c>
      <c r="DS430" s="1"/>
      <c r="DT430" s="1"/>
      <c r="DU430" s="1"/>
      <c r="DV430" s="1"/>
      <c r="DW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</row>
    <row r="431" spans="1:142" s="3" customFormat="1" ht="15" customHeight="1" x14ac:dyDescent="0.25">
      <c r="A431" s="6" t="s">
        <v>1868</v>
      </c>
      <c r="B431" s="2" t="s">
        <v>784</v>
      </c>
      <c r="C431" s="2" t="s">
        <v>1880</v>
      </c>
      <c r="D431" s="25" t="s">
        <v>1810</v>
      </c>
      <c r="E431" s="4" t="s">
        <v>1190</v>
      </c>
      <c r="F431" s="4" t="s">
        <v>1378</v>
      </c>
      <c r="G431" s="26">
        <v>1990</v>
      </c>
      <c r="H431" s="5"/>
      <c r="I431" s="5"/>
      <c r="J431" s="5"/>
      <c r="K431" s="1"/>
      <c r="L431" s="2"/>
      <c r="M431" s="5"/>
      <c r="N431" s="2" t="s">
        <v>1881</v>
      </c>
      <c r="O431" s="28" t="s">
        <v>2773</v>
      </c>
      <c r="Q431" s="27">
        <v>2</v>
      </c>
      <c r="AF431" s="3">
        <v>1</v>
      </c>
      <c r="AJ431" s="3">
        <v>1</v>
      </c>
      <c r="AX431" s="3">
        <v>6</v>
      </c>
      <c r="AZ431" s="3">
        <v>1</v>
      </c>
      <c r="BA431" s="3">
        <v>1</v>
      </c>
      <c r="BB431" s="3">
        <v>9</v>
      </c>
      <c r="BN431" s="3">
        <v>3</v>
      </c>
      <c r="BT431" s="19"/>
      <c r="BV431" s="19"/>
      <c r="BW431" s="19"/>
      <c r="BX431" s="19"/>
      <c r="BY431" s="19"/>
      <c r="BZ431" s="19"/>
      <c r="CA431" s="19"/>
      <c r="CB431" s="19"/>
      <c r="CC431" s="19"/>
      <c r="CD431" s="3">
        <v>1</v>
      </c>
      <c r="CE431" s="19"/>
      <c r="CG431" s="19"/>
      <c r="CH431" s="3">
        <v>1</v>
      </c>
      <c r="CI431" s="3">
        <v>1</v>
      </c>
      <c r="CM431" s="19"/>
      <c r="DS431" s="1"/>
      <c r="DT431" s="1"/>
      <c r="DU431" s="1"/>
      <c r="DV431" s="1"/>
      <c r="DW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</row>
    <row r="432" spans="1:142" s="3" customFormat="1" ht="15" customHeight="1" x14ac:dyDescent="0.25">
      <c r="A432" s="6" t="s">
        <v>1869</v>
      </c>
      <c r="B432" s="2" t="s">
        <v>784</v>
      </c>
      <c r="C432" s="2" t="s">
        <v>1882</v>
      </c>
      <c r="D432" s="25" t="s">
        <v>1810</v>
      </c>
      <c r="E432" s="4" t="s">
        <v>1190</v>
      </c>
      <c r="F432" s="4" t="s">
        <v>1378</v>
      </c>
      <c r="G432" s="26">
        <v>1990</v>
      </c>
      <c r="H432" s="5"/>
      <c r="I432" s="5"/>
      <c r="J432" s="5"/>
      <c r="K432" s="1"/>
      <c r="L432" s="2"/>
      <c r="M432" s="5"/>
      <c r="N432" s="2" t="s">
        <v>1883</v>
      </c>
      <c r="O432" s="28" t="s">
        <v>2774</v>
      </c>
      <c r="Q432" s="27">
        <v>2</v>
      </c>
      <c r="AF432" s="3">
        <v>1</v>
      </c>
      <c r="BN432" s="3">
        <v>4</v>
      </c>
      <c r="BT432" s="19"/>
      <c r="BV432" s="19"/>
      <c r="BW432" s="19"/>
      <c r="BX432" s="19"/>
      <c r="BY432" s="19"/>
      <c r="BZ432" s="19"/>
      <c r="CA432" s="19"/>
      <c r="CB432" s="19"/>
      <c r="CC432" s="19"/>
      <c r="CD432" s="3">
        <v>1</v>
      </c>
      <c r="CE432" s="19"/>
      <c r="CG432" s="19"/>
      <c r="CH432" s="3">
        <v>1</v>
      </c>
      <c r="CI432" s="3">
        <v>1</v>
      </c>
      <c r="CM432" s="19"/>
      <c r="DS432" s="1"/>
      <c r="DT432" s="1"/>
      <c r="DU432" s="1"/>
      <c r="DV432" s="1"/>
      <c r="DW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</row>
    <row r="433" spans="1:142" s="3" customFormat="1" ht="15" customHeight="1" x14ac:dyDescent="0.25">
      <c r="A433" s="6" t="s">
        <v>1870</v>
      </c>
      <c r="B433" s="2" t="s">
        <v>784</v>
      </c>
      <c r="C433" s="2" t="s">
        <v>1884</v>
      </c>
      <c r="D433" s="25" t="s">
        <v>1810</v>
      </c>
      <c r="E433" s="4" t="s">
        <v>1190</v>
      </c>
      <c r="F433" s="4" t="s">
        <v>1387</v>
      </c>
      <c r="G433" s="26">
        <v>1990</v>
      </c>
      <c r="H433" s="5"/>
      <c r="I433" s="5"/>
      <c r="J433" s="5"/>
      <c r="K433" s="1"/>
      <c r="L433" s="2"/>
      <c r="M433" s="5"/>
      <c r="N433" s="2" t="s">
        <v>1885</v>
      </c>
      <c r="O433" s="28" t="s">
        <v>2775</v>
      </c>
      <c r="Q433" s="27">
        <v>2</v>
      </c>
      <c r="W433" s="3">
        <v>3</v>
      </c>
      <c r="AC433" s="3">
        <v>7</v>
      </c>
      <c r="AF433" s="3">
        <v>1</v>
      </c>
      <c r="AX433" s="3">
        <v>4</v>
      </c>
      <c r="AZ433" s="3">
        <v>1</v>
      </c>
      <c r="BA433" s="3">
        <v>1</v>
      </c>
      <c r="BB433" s="3">
        <v>9</v>
      </c>
      <c r="BN433" s="3">
        <v>4</v>
      </c>
      <c r="BQ433" s="3">
        <v>1</v>
      </c>
      <c r="BR433" s="3">
        <v>1</v>
      </c>
      <c r="BT433" s="19">
        <v>1</v>
      </c>
      <c r="BU433" s="3">
        <v>1</v>
      </c>
      <c r="BV433" s="19">
        <v>1</v>
      </c>
      <c r="BW433" s="19">
        <v>5</v>
      </c>
      <c r="BX433" s="19">
        <v>5</v>
      </c>
      <c r="BY433" s="19">
        <v>1</v>
      </c>
      <c r="BZ433" s="19">
        <v>3</v>
      </c>
      <c r="CA433" s="19"/>
      <c r="CB433" s="19">
        <v>1</v>
      </c>
      <c r="CC433" s="19">
        <v>1</v>
      </c>
      <c r="CD433" s="3">
        <v>1</v>
      </c>
      <c r="CE433" s="19">
        <v>3</v>
      </c>
      <c r="CF433" s="3">
        <v>1</v>
      </c>
      <c r="CG433" s="19">
        <v>3</v>
      </c>
      <c r="CH433" s="3">
        <v>1</v>
      </c>
      <c r="CI433" s="3">
        <v>1</v>
      </c>
      <c r="CJ433" s="3">
        <v>1</v>
      </c>
      <c r="CK433" s="3">
        <v>1</v>
      </c>
      <c r="CL433" s="3">
        <v>1</v>
      </c>
      <c r="CM433" s="19">
        <v>1</v>
      </c>
      <c r="CT433" s="3">
        <v>1</v>
      </c>
      <c r="CU433" s="3">
        <v>3</v>
      </c>
      <c r="CV433" s="3">
        <v>1</v>
      </c>
      <c r="CW433" s="3">
        <v>5</v>
      </c>
      <c r="CX433" s="3">
        <v>1</v>
      </c>
      <c r="DS433" s="1"/>
      <c r="DT433" s="1"/>
      <c r="DU433" s="1"/>
      <c r="DV433" s="1"/>
      <c r="DW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</row>
    <row r="434" spans="1:142" s="3" customFormat="1" ht="15" customHeight="1" x14ac:dyDescent="0.25">
      <c r="A434" s="6" t="s">
        <v>569</v>
      </c>
      <c r="B434" s="2" t="s">
        <v>784</v>
      </c>
      <c r="C434" s="2" t="s">
        <v>1826</v>
      </c>
      <c r="D434" s="25" t="s">
        <v>1810</v>
      </c>
      <c r="E434" s="4" t="s">
        <v>1190</v>
      </c>
      <c r="F434" s="4" t="s">
        <v>1387</v>
      </c>
      <c r="G434" s="26">
        <v>1990</v>
      </c>
      <c r="H434" s="5"/>
      <c r="I434" s="5"/>
      <c r="J434" s="5"/>
      <c r="K434" s="1"/>
      <c r="L434" s="2"/>
      <c r="M434" s="5"/>
      <c r="N434" s="2" t="s">
        <v>1827</v>
      </c>
      <c r="O434" s="28" t="s">
        <v>2776</v>
      </c>
      <c r="Q434" s="27">
        <v>2</v>
      </c>
      <c r="W434" s="3">
        <v>3</v>
      </c>
      <c r="AC434" s="3">
        <v>6</v>
      </c>
      <c r="AF434" s="3">
        <v>1</v>
      </c>
      <c r="AJ434" s="3">
        <v>5</v>
      </c>
      <c r="AX434" s="3">
        <v>3</v>
      </c>
      <c r="AZ434" s="3">
        <v>1</v>
      </c>
      <c r="BA434" s="3">
        <v>1</v>
      </c>
      <c r="BB434" s="3">
        <v>9</v>
      </c>
      <c r="BM434" s="3">
        <v>8</v>
      </c>
      <c r="BQ434" s="3">
        <v>1</v>
      </c>
      <c r="BR434" s="3">
        <v>1</v>
      </c>
      <c r="BT434" s="19">
        <v>1</v>
      </c>
      <c r="BU434" s="3">
        <v>1</v>
      </c>
      <c r="BV434" s="19">
        <v>1</v>
      </c>
      <c r="BW434" s="19">
        <v>1</v>
      </c>
      <c r="BX434" s="19">
        <v>1</v>
      </c>
      <c r="BY434" s="19">
        <v>1</v>
      </c>
      <c r="BZ434" s="19">
        <v>1</v>
      </c>
      <c r="CA434" s="19">
        <v>3</v>
      </c>
      <c r="CB434" s="19">
        <v>1</v>
      </c>
      <c r="CC434" s="19">
        <v>1</v>
      </c>
      <c r="CD434" s="3">
        <v>1</v>
      </c>
      <c r="CE434" s="19">
        <v>1</v>
      </c>
      <c r="CF434" s="3">
        <v>1</v>
      </c>
      <c r="CG434" s="19">
        <v>1</v>
      </c>
      <c r="CH434" s="3">
        <v>1</v>
      </c>
      <c r="CI434" s="3">
        <v>1</v>
      </c>
      <c r="CJ434" s="3">
        <v>1</v>
      </c>
      <c r="CK434" s="3">
        <v>1</v>
      </c>
      <c r="CL434" s="3">
        <v>1</v>
      </c>
      <c r="CT434" s="3">
        <v>1</v>
      </c>
      <c r="CU434" s="3">
        <v>1</v>
      </c>
      <c r="CV434" s="3">
        <v>1</v>
      </c>
      <c r="CW434" s="3">
        <v>3</v>
      </c>
      <c r="CX434" s="3">
        <v>1</v>
      </c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</row>
    <row r="435" spans="1:142" s="3" customFormat="1" ht="15" customHeight="1" x14ac:dyDescent="0.25">
      <c r="A435" s="6" t="s">
        <v>1871</v>
      </c>
      <c r="B435" s="2" t="s">
        <v>1886</v>
      </c>
      <c r="C435" s="2" t="s">
        <v>1887</v>
      </c>
      <c r="D435" s="25" t="s">
        <v>1810</v>
      </c>
      <c r="E435" s="4" t="s">
        <v>1190</v>
      </c>
      <c r="F435" s="4"/>
      <c r="G435" s="26"/>
      <c r="H435" s="5" t="s">
        <v>1887</v>
      </c>
      <c r="I435" s="5"/>
      <c r="J435" s="5"/>
      <c r="K435" s="1"/>
      <c r="L435" s="2"/>
      <c r="M435" s="5"/>
      <c r="N435" s="2" t="s">
        <v>1888</v>
      </c>
      <c r="O435" s="28"/>
      <c r="Q435" s="27"/>
      <c r="BT435" s="19"/>
      <c r="BV435" s="19"/>
      <c r="BW435" s="19"/>
      <c r="BX435" s="19"/>
      <c r="BY435" s="19"/>
      <c r="BZ435" s="19"/>
      <c r="CA435" s="19"/>
      <c r="CB435" s="19"/>
      <c r="CC435" s="19"/>
      <c r="CE435" s="19"/>
      <c r="CG435" s="19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</row>
    <row r="436" spans="1:142" s="3" customFormat="1" ht="15" customHeight="1" x14ac:dyDescent="0.25">
      <c r="A436" s="6" t="s">
        <v>570</v>
      </c>
      <c r="B436" s="2" t="s">
        <v>784</v>
      </c>
      <c r="C436" s="2" t="s">
        <v>1828</v>
      </c>
      <c r="D436" s="25" t="s">
        <v>1829</v>
      </c>
      <c r="E436" s="4" t="s">
        <v>1190</v>
      </c>
      <c r="F436" s="4" t="s">
        <v>1209</v>
      </c>
      <c r="G436" s="26">
        <v>1976</v>
      </c>
      <c r="H436" s="5"/>
      <c r="I436" s="5"/>
      <c r="J436" s="5"/>
      <c r="K436" s="1"/>
      <c r="L436" s="2"/>
      <c r="M436" s="4" t="s">
        <v>1862</v>
      </c>
      <c r="N436" s="2" t="s">
        <v>1830</v>
      </c>
      <c r="O436" s="28" t="s">
        <v>2777</v>
      </c>
      <c r="Q436" s="27">
        <v>2</v>
      </c>
      <c r="T436" s="3">
        <v>3</v>
      </c>
      <c r="U436" s="3">
        <v>9</v>
      </c>
      <c r="BB436" s="3">
        <v>9</v>
      </c>
      <c r="BQ436" s="3">
        <v>2</v>
      </c>
      <c r="BR436" s="3">
        <v>1</v>
      </c>
      <c r="BS436" s="3">
        <v>1</v>
      </c>
      <c r="BT436" s="19">
        <v>1</v>
      </c>
      <c r="BU436" s="3">
        <v>3</v>
      </c>
      <c r="BV436" s="19">
        <v>1</v>
      </c>
      <c r="BW436" s="19">
        <v>2</v>
      </c>
      <c r="BX436" s="19">
        <v>5</v>
      </c>
      <c r="BY436" s="19">
        <v>1</v>
      </c>
      <c r="BZ436" s="19">
        <v>1</v>
      </c>
      <c r="CA436" s="19">
        <v>3</v>
      </c>
      <c r="CB436" s="19">
        <v>1</v>
      </c>
      <c r="CC436" s="19">
        <v>9</v>
      </c>
      <c r="CE436" s="19">
        <v>1</v>
      </c>
      <c r="CF436" s="3">
        <v>9</v>
      </c>
      <c r="CG436" s="19">
        <v>1</v>
      </c>
      <c r="CH436" s="3">
        <v>6</v>
      </c>
      <c r="CI436" s="3">
        <v>1</v>
      </c>
      <c r="CJ436" s="3">
        <v>1</v>
      </c>
      <c r="CL436" s="3">
        <v>3</v>
      </c>
      <c r="CT436" s="3">
        <v>1</v>
      </c>
      <c r="CU436" s="3">
        <v>1</v>
      </c>
      <c r="CV436" s="3">
        <v>1</v>
      </c>
      <c r="CW436" s="3">
        <v>6</v>
      </c>
      <c r="DQ436" s="19">
        <v>9</v>
      </c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</row>
    <row r="437" spans="1:142" s="3" customFormat="1" ht="15" customHeight="1" x14ac:dyDescent="0.25">
      <c r="A437" s="6" t="s">
        <v>571</v>
      </c>
      <c r="B437" s="2" t="s">
        <v>784</v>
      </c>
      <c r="C437" s="2" t="s">
        <v>1831</v>
      </c>
      <c r="D437" s="25" t="s">
        <v>1829</v>
      </c>
      <c r="E437" s="4" t="s">
        <v>1190</v>
      </c>
      <c r="F437" s="4" t="s">
        <v>1068</v>
      </c>
      <c r="G437" s="26">
        <v>1990</v>
      </c>
      <c r="H437" s="5"/>
      <c r="I437" s="5"/>
      <c r="J437" s="5"/>
      <c r="K437" s="1"/>
      <c r="L437" s="2"/>
      <c r="M437" s="5"/>
      <c r="N437" s="2" t="s">
        <v>1832</v>
      </c>
      <c r="O437" s="28" t="s">
        <v>2778</v>
      </c>
      <c r="Q437" s="27">
        <v>2</v>
      </c>
      <c r="W437" s="3">
        <v>4</v>
      </c>
      <c r="AF437" s="3">
        <v>1</v>
      </c>
      <c r="AJ437" s="3">
        <v>8</v>
      </c>
      <c r="AX437" s="3">
        <v>2</v>
      </c>
      <c r="AZ437" s="3">
        <v>9</v>
      </c>
      <c r="BA437" s="3">
        <v>1</v>
      </c>
      <c r="BB437" s="3">
        <v>9</v>
      </c>
      <c r="BF437" s="3">
        <v>2.84</v>
      </c>
      <c r="BN437" s="3">
        <v>4</v>
      </c>
      <c r="BQ437" s="3">
        <v>2</v>
      </c>
      <c r="BR437" s="3">
        <v>7</v>
      </c>
      <c r="BT437" s="19">
        <v>1</v>
      </c>
      <c r="BU437" s="3">
        <v>5</v>
      </c>
      <c r="BV437" s="19">
        <v>4</v>
      </c>
      <c r="BW437" s="19">
        <v>9</v>
      </c>
      <c r="BX437" s="19">
        <v>9</v>
      </c>
      <c r="BY437" s="19">
        <v>3</v>
      </c>
      <c r="BZ437" s="19">
        <v>2</v>
      </c>
      <c r="CA437" s="19">
        <v>7</v>
      </c>
      <c r="CB437" s="19">
        <v>7</v>
      </c>
      <c r="CC437" s="19">
        <v>9</v>
      </c>
      <c r="CD437" s="3">
        <v>5</v>
      </c>
      <c r="CE437" s="19">
        <v>3</v>
      </c>
      <c r="CF437" s="3">
        <v>9</v>
      </c>
      <c r="CG437" s="19">
        <v>4</v>
      </c>
      <c r="CH437" s="3">
        <v>7</v>
      </c>
      <c r="CI437" s="3">
        <v>8</v>
      </c>
      <c r="CJ437" s="3">
        <v>7</v>
      </c>
      <c r="CK437" s="3">
        <v>6</v>
      </c>
      <c r="CL437" s="3">
        <v>8</v>
      </c>
      <c r="CT437" s="3">
        <v>5</v>
      </c>
      <c r="CU437" s="3">
        <v>6</v>
      </c>
      <c r="CV437" s="3">
        <v>3</v>
      </c>
      <c r="CW437" s="3">
        <v>7</v>
      </c>
      <c r="CX437" s="3">
        <v>5</v>
      </c>
      <c r="DQ437" s="19">
        <v>9</v>
      </c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</row>
    <row r="438" spans="1:142" s="3" customFormat="1" ht="15" customHeight="1" x14ac:dyDescent="0.25">
      <c r="A438" s="6" t="s">
        <v>572</v>
      </c>
      <c r="B438" s="2" t="s">
        <v>784</v>
      </c>
      <c r="C438" s="2" t="s">
        <v>1833</v>
      </c>
      <c r="D438" s="25" t="s">
        <v>1692</v>
      </c>
      <c r="E438" s="4" t="s">
        <v>1190</v>
      </c>
      <c r="F438" s="5"/>
      <c r="G438" s="29"/>
      <c r="H438" s="5"/>
      <c r="I438" s="5"/>
      <c r="J438" s="5"/>
      <c r="K438" s="1"/>
      <c r="L438" s="2"/>
      <c r="M438" s="5"/>
      <c r="N438" s="2" t="s">
        <v>1834</v>
      </c>
      <c r="O438" s="28" t="s">
        <v>2779</v>
      </c>
      <c r="Q438" s="27">
        <v>2</v>
      </c>
      <c r="S438" s="3">
        <v>2</v>
      </c>
      <c r="U438" s="3">
        <v>1</v>
      </c>
      <c r="BB438" s="3">
        <v>9</v>
      </c>
      <c r="BF438" s="3">
        <v>3.23</v>
      </c>
      <c r="BG438" s="3">
        <v>9</v>
      </c>
      <c r="BN438" s="3">
        <v>4</v>
      </c>
      <c r="BP438" s="3">
        <v>8</v>
      </c>
      <c r="BQ438" s="3">
        <v>7</v>
      </c>
      <c r="BR438" s="3">
        <v>9</v>
      </c>
      <c r="BT438" s="19">
        <v>7</v>
      </c>
      <c r="BU438" s="3">
        <v>5</v>
      </c>
      <c r="BV438" s="19">
        <v>9</v>
      </c>
      <c r="BW438" s="19">
        <v>9</v>
      </c>
      <c r="BX438" s="19">
        <v>5</v>
      </c>
      <c r="BY438" s="19">
        <v>9</v>
      </c>
      <c r="BZ438" s="19">
        <v>9</v>
      </c>
      <c r="CA438" s="19">
        <v>8</v>
      </c>
      <c r="CB438" s="19">
        <v>9</v>
      </c>
      <c r="CC438" s="3">
        <v>9</v>
      </c>
      <c r="CD438" s="3">
        <v>7</v>
      </c>
      <c r="CE438" s="19">
        <v>9</v>
      </c>
      <c r="CF438" s="3">
        <v>9</v>
      </c>
      <c r="CG438" s="19">
        <v>8</v>
      </c>
      <c r="CH438" s="3">
        <v>7</v>
      </c>
      <c r="CI438" s="3">
        <v>9</v>
      </c>
      <c r="CJ438" s="3">
        <v>9</v>
      </c>
      <c r="CL438" s="3">
        <v>9</v>
      </c>
      <c r="CM438" s="3">
        <v>9</v>
      </c>
      <c r="CO438" s="3">
        <v>9</v>
      </c>
      <c r="CT438" s="3">
        <v>7</v>
      </c>
      <c r="CU438" s="3">
        <v>9</v>
      </c>
      <c r="CV438" s="3">
        <v>9</v>
      </c>
      <c r="CW438" s="3">
        <v>9</v>
      </c>
      <c r="CX438" s="3">
        <v>9</v>
      </c>
      <c r="CY438" s="3">
        <v>9</v>
      </c>
      <c r="CZ438" s="3">
        <v>9</v>
      </c>
      <c r="DA438" s="3">
        <v>9</v>
      </c>
      <c r="DB438" s="3">
        <v>9</v>
      </c>
      <c r="DC438" s="3">
        <v>9</v>
      </c>
      <c r="DD438" s="3">
        <v>9</v>
      </c>
      <c r="DE438" s="3">
        <v>9</v>
      </c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</row>
    <row r="439" spans="1:142" s="3" customFormat="1" ht="15" customHeight="1" x14ac:dyDescent="0.25">
      <c r="A439" s="6" t="s">
        <v>573</v>
      </c>
      <c r="B439" s="2" t="s">
        <v>784</v>
      </c>
      <c r="C439" s="2" t="s">
        <v>1835</v>
      </c>
      <c r="D439" s="25" t="s">
        <v>1692</v>
      </c>
      <c r="E439" s="4" t="s">
        <v>1190</v>
      </c>
      <c r="F439" s="4" t="s">
        <v>1408</v>
      </c>
      <c r="G439" s="26">
        <v>1991</v>
      </c>
      <c r="H439" s="5"/>
      <c r="I439" s="5"/>
      <c r="J439" s="5"/>
      <c r="K439" s="1"/>
      <c r="L439" s="2"/>
      <c r="M439" s="5"/>
      <c r="N439" s="2" t="s">
        <v>1836</v>
      </c>
      <c r="O439" s="28" t="s">
        <v>2780</v>
      </c>
      <c r="Q439" s="27">
        <v>2</v>
      </c>
      <c r="W439" s="3">
        <v>4</v>
      </c>
      <c r="AB439" s="3">
        <v>8</v>
      </c>
      <c r="AC439" s="3">
        <v>8</v>
      </c>
      <c r="AF439" s="3">
        <v>1</v>
      </c>
      <c r="AJ439" s="3">
        <v>5</v>
      </c>
      <c r="AX439" s="3">
        <v>5</v>
      </c>
      <c r="AZ439" s="3">
        <v>5</v>
      </c>
      <c r="BA439" s="3">
        <v>1</v>
      </c>
      <c r="BB439" s="3">
        <v>9</v>
      </c>
      <c r="BG439" s="3">
        <v>9</v>
      </c>
      <c r="BN439" s="3">
        <v>1</v>
      </c>
      <c r="BP439" s="3">
        <v>0</v>
      </c>
      <c r="BQ439" s="3">
        <v>7</v>
      </c>
      <c r="BR439" s="3">
        <v>7</v>
      </c>
      <c r="BT439" s="19">
        <v>7</v>
      </c>
      <c r="BU439" s="3">
        <v>7</v>
      </c>
      <c r="BV439" s="19">
        <v>9</v>
      </c>
      <c r="BW439" s="19">
        <v>9</v>
      </c>
      <c r="BX439" s="19">
        <v>9</v>
      </c>
      <c r="BY439" s="19">
        <v>9</v>
      </c>
      <c r="BZ439" s="19">
        <v>7</v>
      </c>
      <c r="CA439" s="19">
        <v>7</v>
      </c>
      <c r="CB439" s="19">
        <v>9</v>
      </c>
      <c r="CC439" s="19">
        <v>9</v>
      </c>
      <c r="CD439" s="3">
        <v>9</v>
      </c>
      <c r="CE439" s="19">
        <v>9</v>
      </c>
      <c r="CF439" s="3">
        <v>9</v>
      </c>
      <c r="CG439" s="19">
        <v>8</v>
      </c>
      <c r="CH439" s="3">
        <v>7</v>
      </c>
      <c r="CI439" s="3">
        <v>9</v>
      </c>
      <c r="CJ439" s="3">
        <v>8</v>
      </c>
      <c r="CK439" s="3">
        <v>6</v>
      </c>
      <c r="CL439" s="3">
        <v>9</v>
      </c>
      <c r="CT439" s="3">
        <v>9</v>
      </c>
      <c r="CU439" s="3">
        <v>9</v>
      </c>
      <c r="CV439" s="3">
        <v>9</v>
      </c>
      <c r="CW439" s="3">
        <v>8</v>
      </c>
      <c r="CX439" s="3">
        <v>3</v>
      </c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</row>
    <row r="440" spans="1:142" s="3" customFormat="1" ht="15" customHeight="1" x14ac:dyDescent="0.25">
      <c r="A440" s="6" t="s">
        <v>574</v>
      </c>
      <c r="B440" s="2" t="s">
        <v>784</v>
      </c>
      <c r="C440" s="2" t="s">
        <v>1837</v>
      </c>
      <c r="D440" s="25" t="s">
        <v>1838</v>
      </c>
      <c r="E440" s="4" t="s">
        <v>1190</v>
      </c>
      <c r="F440" s="5"/>
      <c r="G440" s="26">
        <v>1961</v>
      </c>
      <c r="H440" s="5"/>
      <c r="I440" s="5"/>
      <c r="J440" s="5"/>
      <c r="K440" s="1"/>
      <c r="L440" s="2"/>
      <c r="M440" s="5"/>
      <c r="N440" s="2" t="s">
        <v>1839</v>
      </c>
      <c r="O440" s="28" t="s">
        <v>2781</v>
      </c>
      <c r="Q440" s="27">
        <v>2</v>
      </c>
      <c r="S440" s="3">
        <v>1</v>
      </c>
      <c r="T440" s="3">
        <v>3</v>
      </c>
      <c r="U440" s="3">
        <v>9</v>
      </c>
      <c r="BB440" s="3">
        <v>9</v>
      </c>
      <c r="BK440" s="3">
        <v>2</v>
      </c>
      <c r="BN440" s="3">
        <v>1</v>
      </c>
      <c r="BQ440" s="3">
        <v>8</v>
      </c>
      <c r="BR440" s="3">
        <v>9</v>
      </c>
      <c r="BS440" s="3">
        <v>9</v>
      </c>
      <c r="BT440" s="19">
        <v>9</v>
      </c>
      <c r="BU440" s="3">
        <v>5</v>
      </c>
      <c r="BV440" s="19">
        <v>9</v>
      </c>
      <c r="BW440" s="19">
        <v>9</v>
      </c>
      <c r="BX440" s="19">
        <v>5</v>
      </c>
      <c r="BY440" s="19">
        <v>9</v>
      </c>
      <c r="BZ440" s="19">
        <v>9</v>
      </c>
      <c r="CA440" s="19">
        <v>8</v>
      </c>
      <c r="CB440" s="19">
        <v>9</v>
      </c>
      <c r="CC440" s="3">
        <v>9</v>
      </c>
      <c r="CD440" s="3">
        <v>8</v>
      </c>
      <c r="CE440" s="19">
        <v>9</v>
      </c>
      <c r="CF440" s="3">
        <v>9</v>
      </c>
      <c r="CG440" s="19">
        <v>9</v>
      </c>
      <c r="CH440" s="3">
        <v>7</v>
      </c>
      <c r="CI440" s="3">
        <v>9</v>
      </c>
      <c r="CJ440" s="3">
        <v>9</v>
      </c>
      <c r="CK440" s="3">
        <v>8</v>
      </c>
      <c r="CL440" s="3">
        <v>7</v>
      </c>
      <c r="CT440" s="3">
        <v>9</v>
      </c>
      <c r="CU440" s="3">
        <v>9</v>
      </c>
      <c r="CV440" s="3">
        <v>9</v>
      </c>
      <c r="CW440" s="3">
        <v>9</v>
      </c>
      <c r="CX440" s="3">
        <v>9</v>
      </c>
      <c r="CY440" s="3">
        <v>1</v>
      </c>
      <c r="CZ440" s="3">
        <v>1</v>
      </c>
      <c r="DA440" s="3">
        <v>1</v>
      </c>
      <c r="DB440" s="3">
        <v>9</v>
      </c>
      <c r="DC440" s="3">
        <v>3</v>
      </c>
      <c r="DD440" s="3">
        <v>1</v>
      </c>
      <c r="DE440" s="3">
        <v>9</v>
      </c>
      <c r="DL440" s="3">
        <v>3</v>
      </c>
      <c r="DM440" s="3">
        <v>4</v>
      </c>
      <c r="DN440" s="3">
        <v>7</v>
      </c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</row>
    <row r="441" spans="1:142" s="3" customFormat="1" ht="15" customHeight="1" x14ac:dyDescent="0.25">
      <c r="A441" s="6" t="s">
        <v>575</v>
      </c>
      <c r="B441" s="2" t="s">
        <v>784</v>
      </c>
      <c r="C441" s="2" t="s">
        <v>1840</v>
      </c>
      <c r="D441" s="25" t="s">
        <v>1838</v>
      </c>
      <c r="E441" s="4" t="s">
        <v>1190</v>
      </c>
      <c r="F441" s="5"/>
      <c r="G441" s="26">
        <v>1974</v>
      </c>
      <c r="H441" s="5"/>
      <c r="I441" s="5"/>
      <c r="J441" s="5"/>
      <c r="K441" s="1"/>
      <c r="L441" s="2"/>
      <c r="M441" s="5"/>
      <c r="N441" s="2" t="s">
        <v>1841</v>
      </c>
      <c r="O441" s="28" t="s">
        <v>2782</v>
      </c>
      <c r="Q441" s="27">
        <v>2</v>
      </c>
      <c r="BA441" s="3">
        <v>1</v>
      </c>
      <c r="BF441" s="3">
        <v>2.4700000000000002</v>
      </c>
      <c r="BN441" s="3">
        <v>4</v>
      </c>
      <c r="BQ441" s="3">
        <v>9</v>
      </c>
      <c r="BS441" s="3">
        <v>9</v>
      </c>
      <c r="CC441" s="3">
        <v>7</v>
      </c>
      <c r="CD441" s="3">
        <v>9</v>
      </c>
      <c r="CH441" s="3">
        <v>9</v>
      </c>
      <c r="CI441" s="3">
        <v>9</v>
      </c>
      <c r="CJ441" s="3">
        <v>9</v>
      </c>
      <c r="CK441" s="3">
        <v>9</v>
      </c>
      <c r="CL441" s="3">
        <v>9</v>
      </c>
      <c r="CM441" s="3">
        <v>9</v>
      </c>
      <c r="CN441" s="3">
        <v>7</v>
      </c>
      <c r="CO441" s="3">
        <v>9</v>
      </c>
      <c r="CP441" s="3">
        <v>9</v>
      </c>
      <c r="CY441" s="3">
        <v>1</v>
      </c>
      <c r="CZ441" s="3">
        <v>1</v>
      </c>
      <c r="DA441" s="3">
        <v>1</v>
      </c>
      <c r="DB441" s="3">
        <v>9</v>
      </c>
      <c r="DC441" s="3">
        <v>1</v>
      </c>
      <c r="DD441" s="3">
        <v>1</v>
      </c>
      <c r="DE441" s="3">
        <v>9</v>
      </c>
      <c r="DS441" s="1"/>
      <c r="DT441" s="1"/>
      <c r="DU441" s="1"/>
      <c r="DV441" s="1"/>
      <c r="DW441" s="1"/>
    </row>
    <row r="442" spans="1:142" s="3" customFormat="1" ht="15" customHeight="1" x14ac:dyDescent="0.25">
      <c r="A442" s="6" t="s">
        <v>576</v>
      </c>
      <c r="B442" s="2" t="s">
        <v>784</v>
      </c>
      <c r="C442" s="2" t="s">
        <v>1842</v>
      </c>
      <c r="D442" s="25" t="s">
        <v>1843</v>
      </c>
      <c r="E442" s="4" t="s">
        <v>1190</v>
      </c>
      <c r="F442" s="4" t="s">
        <v>1222</v>
      </c>
      <c r="G442" s="26">
        <v>1988</v>
      </c>
      <c r="H442" s="5"/>
      <c r="I442" s="5"/>
      <c r="J442" s="5"/>
      <c r="K442" s="1"/>
      <c r="L442" s="2"/>
      <c r="M442" s="5"/>
      <c r="N442" s="2" t="s">
        <v>1844</v>
      </c>
      <c r="O442" s="28" t="s">
        <v>2783</v>
      </c>
      <c r="Q442" s="27">
        <v>2</v>
      </c>
      <c r="W442" s="3">
        <v>4</v>
      </c>
      <c r="AB442" s="3">
        <v>8</v>
      </c>
      <c r="AC442" s="3">
        <v>8</v>
      </c>
      <c r="AF442" s="3">
        <v>1</v>
      </c>
      <c r="AI442" s="3">
        <v>1</v>
      </c>
      <c r="AW442" s="3">
        <v>9</v>
      </c>
      <c r="AY442" s="3">
        <v>1</v>
      </c>
      <c r="BA442" s="3">
        <v>1</v>
      </c>
      <c r="BB442" s="3">
        <v>9</v>
      </c>
      <c r="BN442" s="3">
        <v>3</v>
      </c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</row>
    <row r="443" spans="1:142" s="3" customFormat="1" ht="15" customHeight="1" x14ac:dyDescent="0.25">
      <c r="A443" s="6" t="s">
        <v>1872</v>
      </c>
      <c r="B443" s="2" t="s">
        <v>784</v>
      </c>
      <c r="C443" s="2" t="s">
        <v>1889</v>
      </c>
      <c r="D443" s="25" t="s">
        <v>1890</v>
      </c>
      <c r="E443" s="4" t="s">
        <v>1190</v>
      </c>
      <c r="F443" s="4"/>
      <c r="G443" s="26"/>
      <c r="H443" s="5"/>
      <c r="I443" s="5"/>
      <c r="J443" s="5"/>
      <c r="K443" s="1"/>
      <c r="L443" s="2"/>
      <c r="M443" s="5"/>
      <c r="N443" s="2" t="s">
        <v>1891</v>
      </c>
      <c r="O443" s="28" t="s">
        <v>2784</v>
      </c>
      <c r="Q443" s="27">
        <v>2</v>
      </c>
      <c r="BQ443" s="3">
        <v>1</v>
      </c>
      <c r="BS443" s="3">
        <v>1</v>
      </c>
      <c r="BT443" s="3">
        <v>3</v>
      </c>
      <c r="BU443" s="3">
        <v>1</v>
      </c>
      <c r="BV443" s="3">
        <v>1</v>
      </c>
      <c r="CB443" s="3">
        <v>1</v>
      </c>
      <c r="CC443" s="3">
        <v>3</v>
      </c>
      <c r="CD443" s="3">
        <v>3</v>
      </c>
      <c r="CE443" s="3">
        <v>1</v>
      </c>
      <c r="CF443" s="3">
        <v>4</v>
      </c>
      <c r="CJ443" s="3">
        <v>1</v>
      </c>
      <c r="CK443" s="3">
        <v>1</v>
      </c>
      <c r="CL443" s="3">
        <v>9</v>
      </c>
      <c r="CT443" s="3">
        <v>2</v>
      </c>
      <c r="CU443" s="3">
        <v>1</v>
      </c>
      <c r="CV443" s="3">
        <v>3</v>
      </c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</row>
    <row r="444" spans="1:142" s="3" customFormat="1" ht="15" customHeight="1" x14ac:dyDescent="0.25">
      <c r="A444" s="6" t="s">
        <v>577</v>
      </c>
      <c r="B444" s="2" t="s">
        <v>784</v>
      </c>
      <c r="C444" s="2" t="s">
        <v>1845</v>
      </c>
      <c r="D444" s="25" t="s">
        <v>1846</v>
      </c>
      <c r="E444" s="4" t="s">
        <v>1190</v>
      </c>
      <c r="F444" s="5"/>
      <c r="G444" s="29"/>
      <c r="H444" s="5"/>
      <c r="I444" s="5"/>
      <c r="J444" s="5"/>
      <c r="K444" s="1"/>
      <c r="L444" s="2"/>
      <c r="M444" s="5"/>
      <c r="N444" s="2" t="s">
        <v>1847</v>
      </c>
      <c r="O444" s="28" t="s">
        <v>2785</v>
      </c>
      <c r="Q444" s="27">
        <v>2</v>
      </c>
      <c r="W444" s="3">
        <v>4</v>
      </c>
      <c r="AB444" s="3">
        <v>8</v>
      </c>
      <c r="AC444" s="3">
        <v>8</v>
      </c>
      <c r="AF444" s="3">
        <v>1</v>
      </c>
      <c r="AI444" s="3">
        <v>1</v>
      </c>
      <c r="AW444" s="3">
        <v>9</v>
      </c>
      <c r="AY444" s="3">
        <v>1</v>
      </c>
      <c r="BA444" s="3">
        <v>1</v>
      </c>
      <c r="BB444" s="3">
        <v>1</v>
      </c>
      <c r="BN444" s="3">
        <v>2</v>
      </c>
      <c r="BQ444" s="3">
        <v>1</v>
      </c>
      <c r="BS444" s="3">
        <v>5</v>
      </c>
      <c r="BT444" s="19">
        <v>1</v>
      </c>
      <c r="BU444" s="3">
        <v>1</v>
      </c>
      <c r="BV444" s="19">
        <v>3</v>
      </c>
      <c r="BW444" s="19">
        <v>1</v>
      </c>
      <c r="BX444" s="19">
        <v>1</v>
      </c>
      <c r="BZ444" s="19">
        <v>1</v>
      </c>
      <c r="CA444" s="19">
        <v>1</v>
      </c>
      <c r="CB444" s="19">
        <v>2</v>
      </c>
      <c r="CC444" s="19">
        <v>1</v>
      </c>
      <c r="CE444" s="19">
        <v>1</v>
      </c>
      <c r="CF444" s="3">
        <v>1</v>
      </c>
      <c r="CH444" s="3">
        <v>2</v>
      </c>
      <c r="CI444" s="3">
        <v>1</v>
      </c>
      <c r="CJ444" s="3">
        <v>1</v>
      </c>
      <c r="CK444" s="3">
        <v>7</v>
      </c>
      <c r="CL444" s="3">
        <v>1</v>
      </c>
      <c r="CT444" s="3">
        <v>1</v>
      </c>
      <c r="CU444" s="3">
        <v>1</v>
      </c>
      <c r="CW444" s="3">
        <v>1</v>
      </c>
      <c r="CX444" s="3">
        <v>3</v>
      </c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</row>
    <row r="445" spans="1:142" s="3" customFormat="1" ht="15" customHeight="1" x14ac:dyDescent="0.25">
      <c r="A445" s="6" t="s">
        <v>578</v>
      </c>
      <c r="B445" s="2" t="s">
        <v>784</v>
      </c>
      <c r="C445" s="2" t="s">
        <v>1848</v>
      </c>
      <c r="D445" s="25" t="s">
        <v>1846</v>
      </c>
      <c r="E445" s="4" t="s">
        <v>1190</v>
      </c>
      <c r="F445" s="4" t="s">
        <v>1147</v>
      </c>
      <c r="G445" s="29"/>
      <c r="H445" s="5"/>
      <c r="I445" s="5"/>
      <c r="J445" s="5"/>
      <c r="K445" s="1"/>
      <c r="L445" s="2"/>
      <c r="M445" s="5"/>
      <c r="N445" s="2" t="s">
        <v>1849</v>
      </c>
      <c r="O445" s="28" t="s">
        <v>2786</v>
      </c>
      <c r="Q445" s="27">
        <v>2</v>
      </c>
      <c r="S445" s="3">
        <v>2</v>
      </c>
      <c r="W445" s="3">
        <v>4</v>
      </c>
      <c r="AB445" s="3">
        <v>9</v>
      </c>
      <c r="AC445" s="3">
        <v>8</v>
      </c>
      <c r="AF445" s="3">
        <v>1</v>
      </c>
      <c r="AJ445" s="3">
        <v>2</v>
      </c>
      <c r="AX445" s="3">
        <v>3</v>
      </c>
      <c r="AZ445" s="3">
        <v>1</v>
      </c>
      <c r="BA445" s="3">
        <v>1</v>
      </c>
      <c r="CD445" s="3">
        <v>1</v>
      </c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</row>
    <row r="446" spans="1:142" s="3" customFormat="1" ht="15" customHeight="1" x14ac:dyDescent="0.25">
      <c r="A446" s="6" t="s">
        <v>1873</v>
      </c>
      <c r="B446" s="2" t="s">
        <v>784</v>
      </c>
      <c r="C446" s="2" t="s">
        <v>1892</v>
      </c>
      <c r="D446" s="25" t="s">
        <v>1893</v>
      </c>
      <c r="E446" s="4" t="s">
        <v>1190</v>
      </c>
      <c r="F446" s="4"/>
      <c r="G446" s="29"/>
      <c r="H446" s="5"/>
      <c r="I446" s="5"/>
      <c r="J446" s="5"/>
      <c r="K446" s="1"/>
      <c r="L446" s="2"/>
      <c r="M446" s="5"/>
      <c r="N446" s="2" t="s">
        <v>1894</v>
      </c>
      <c r="O446" s="28" t="s">
        <v>2787</v>
      </c>
      <c r="Q446" s="27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</row>
    <row r="447" spans="1:142" s="3" customFormat="1" ht="15" customHeight="1" x14ac:dyDescent="0.25">
      <c r="A447" s="6" t="s">
        <v>579</v>
      </c>
      <c r="B447" s="2" t="s">
        <v>784</v>
      </c>
      <c r="C447" s="2" t="s">
        <v>1850</v>
      </c>
      <c r="D447" s="25" t="s">
        <v>1851</v>
      </c>
      <c r="E447" s="4" t="s">
        <v>946</v>
      </c>
      <c r="F447" s="4" t="s">
        <v>1852</v>
      </c>
      <c r="G447" s="26">
        <v>1990</v>
      </c>
      <c r="H447" s="4" t="s">
        <v>123</v>
      </c>
      <c r="I447" s="5"/>
      <c r="J447" s="5"/>
      <c r="K447" s="1"/>
      <c r="L447" s="2"/>
      <c r="M447" s="5"/>
      <c r="N447" s="2" t="s">
        <v>1853</v>
      </c>
      <c r="O447" s="28" t="s">
        <v>2788</v>
      </c>
      <c r="Q447" s="27">
        <v>2</v>
      </c>
      <c r="W447" s="3">
        <v>4</v>
      </c>
      <c r="AB447" s="3">
        <v>1</v>
      </c>
      <c r="AC447" s="3">
        <v>5</v>
      </c>
      <c r="AF447" s="3">
        <v>1</v>
      </c>
      <c r="AI447" s="3">
        <v>1</v>
      </c>
      <c r="AW447" s="3">
        <v>1</v>
      </c>
      <c r="AY447" s="3">
        <v>1</v>
      </c>
      <c r="BA447" s="3">
        <v>1</v>
      </c>
      <c r="BB447" s="3">
        <v>9</v>
      </c>
      <c r="BF447" s="3">
        <v>3.53</v>
      </c>
      <c r="BN447" s="3">
        <v>1</v>
      </c>
      <c r="BQ447" s="3">
        <v>1</v>
      </c>
      <c r="BR447" s="3">
        <v>1</v>
      </c>
      <c r="BT447" s="19">
        <v>1</v>
      </c>
      <c r="BU447" s="3">
        <v>1</v>
      </c>
      <c r="BV447" s="19">
        <v>1</v>
      </c>
      <c r="BW447" s="19">
        <v>1</v>
      </c>
      <c r="BX447" s="19">
        <v>3</v>
      </c>
      <c r="BY447" s="19">
        <v>1</v>
      </c>
      <c r="BZ447" s="19">
        <v>1</v>
      </c>
      <c r="CA447" s="19">
        <v>1</v>
      </c>
      <c r="CB447" s="19">
        <v>1</v>
      </c>
      <c r="CC447" s="19">
        <v>1</v>
      </c>
      <c r="CD447" s="3">
        <v>1</v>
      </c>
      <c r="CE447" s="19">
        <v>1</v>
      </c>
      <c r="CF447" s="3">
        <v>1</v>
      </c>
      <c r="CG447" s="19">
        <v>1</v>
      </c>
      <c r="CH447" s="3">
        <v>1</v>
      </c>
      <c r="CI447" s="3">
        <v>1</v>
      </c>
      <c r="CJ447" s="3">
        <v>1</v>
      </c>
      <c r="CK447" s="3">
        <v>1</v>
      </c>
      <c r="CL447" s="3">
        <v>7</v>
      </c>
      <c r="CT447" s="3">
        <v>1</v>
      </c>
      <c r="CU447" s="3">
        <v>1</v>
      </c>
      <c r="CV447" s="3">
        <v>9</v>
      </c>
      <c r="CW447" s="3">
        <v>1</v>
      </c>
      <c r="CX447" s="3">
        <v>1</v>
      </c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</row>
    <row r="448" spans="1:142" s="3" customFormat="1" ht="15" customHeight="1" x14ac:dyDescent="0.25">
      <c r="A448" s="6" t="s">
        <v>580</v>
      </c>
      <c r="B448" s="2" t="s">
        <v>784</v>
      </c>
      <c r="C448" s="2" t="s">
        <v>1854</v>
      </c>
      <c r="D448" s="25" t="s">
        <v>1855</v>
      </c>
      <c r="E448" s="4" t="s">
        <v>1190</v>
      </c>
      <c r="F448" s="5"/>
      <c r="G448" s="26">
        <v>1993</v>
      </c>
      <c r="H448" s="5"/>
      <c r="I448" s="5"/>
      <c r="J448" s="5"/>
      <c r="K448" s="1"/>
      <c r="L448" s="2"/>
      <c r="M448" s="5"/>
      <c r="N448" s="2" t="s">
        <v>1856</v>
      </c>
      <c r="O448" s="28" t="s">
        <v>2789</v>
      </c>
      <c r="Q448" s="27">
        <v>2</v>
      </c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</row>
    <row r="449" spans="1:142" s="3" customFormat="1" ht="15" customHeight="1" x14ac:dyDescent="0.25">
      <c r="A449" s="6" t="s">
        <v>581</v>
      </c>
      <c r="B449" s="1" t="s">
        <v>1857</v>
      </c>
      <c r="C449" s="1" t="s">
        <v>1858</v>
      </c>
      <c r="D449" s="25" t="s">
        <v>1859</v>
      </c>
      <c r="E449" s="4" t="s">
        <v>1190</v>
      </c>
      <c r="F449" s="5" t="s">
        <v>1860</v>
      </c>
      <c r="G449" s="29"/>
      <c r="H449" s="5"/>
      <c r="I449" s="5"/>
      <c r="J449" s="5"/>
      <c r="K449" s="1"/>
      <c r="L449" s="2"/>
      <c r="M449" s="5"/>
      <c r="N449" s="2"/>
      <c r="O449" s="6"/>
      <c r="Q449" s="27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</row>
    <row r="450" spans="1:142" s="3" customFormat="1" ht="15" customHeight="1" x14ac:dyDescent="0.25">
      <c r="A450" s="6" t="s">
        <v>582</v>
      </c>
      <c r="B450" s="2" t="s">
        <v>1704</v>
      </c>
      <c r="C450" s="2" t="s">
        <v>1861</v>
      </c>
      <c r="D450" s="25" t="s">
        <v>786</v>
      </c>
      <c r="E450" s="4" t="s">
        <v>787</v>
      </c>
      <c r="F450" s="4" t="s">
        <v>788</v>
      </c>
      <c r="G450" s="26">
        <v>1972</v>
      </c>
      <c r="H450" s="5" t="s">
        <v>139</v>
      </c>
      <c r="I450" s="5"/>
      <c r="J450" s="5" t="s">
        <v>789</v>
      </c>
      <c r="K450" s="1" t="s">
        <v>139</v>
      </c>
      <c r="L450" s="2" t="s">
        <v>802</v>
      </c>
      <c r="M450" s="5"/>
      <c r="N450" s="2"/>
      <c r="O450" s="6"/>
      <c r="Q450" s="27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</row>
  </sheetData>
  <sortState ref="A2:EK450">
    <sortCondition ref="A2:A450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38"/>
  <sheetViews>
    <sheetView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5" customHeight="1" x14ac:dyDescent="0.25"/>
  <cols>
    <col min="1" max="1" width="8" style="2" customWidth="1"/>
    <col min="2" max="2" width="32.140625" style="1" customWidth="1"/>
    <col min="3" max="3" width="9.7109375" style="1" customWidth="1"/>
    <col min="4" max="4" width="5.85546875" style="1" customWidth="1"/>
    <col min="5" max="5" width="11.28515625" style="1" customWidth="1"/>
    <col min="6" max="6" width="11.85546875" style="1" customWidth="1"/>
    <col min="7" max="7" width="12.28515625" style="1" customWidth="1"/>
    <col min="8" max="9" width="9.140625" style="1"/>
    <col min="10" max="10" width="11.140625" style="1" customWidth="1"/>
    <col min="11" max="12" width="9.140625" style="1"/>
    <col min="13" max="13" width="12.42578125" style="1" customWidth="1"/>
    <col min="14" max="14" width="12.85546875" style="1" customWidth="1"/>
    <col min="15" max="15" width="11.28515625" style="1" customWidth="1"/>
    <col min="16" max="16" width="9.140625" style="1"/>
    <col min="17" max="18" width="11" style="1" customWidth="1"/>
    <col min="19" max="19" width="11.7109375" style="1" customWidth="1"/>
    <col min="20" max="20" width="14.5703125" style="1" customWidth="1"/>
    <col min="21" max="21" width="11.28515625" style="1" customWidth="1"/>
    <col min="22" max="22" width="9.140625" style="1"/>
    <col min="23" max="23" width="10.28515625" style="1" customWidth="1"/>
    <col min="24" max="24" width="9.85546875" style="1" customWidth="1"/>
    <col min="25" max="25" width="10.28515625" style="1" customWidth="1"/>
    <col min="26" max="26" width="15" style="1" customWidth="1"/>
    <col min="27" max="27" width="16.140625" style="1" customWidth="1"/>
    <col min="28" max="33" width="9.140625" style="1"/>
    <col min="34" max="57" width="7.7109375" style="1" customWidth="1"/>
    <col min="58" max="58" width="6.85546875" style="1" customWidth="1"/>
    <col min="59" max="59" width="10" style="1" customWidth="1"/>
    <col min="60" max="16384" width="9.140625" style="1"/>
  </cols>
  <sheetData>
    <row r="1" spans="1:64" ht="45" customHeight="1" x14ac:dyDescent="0.25">
      <c r="A1" s="20" t="s">
        <v>140</v>
      </c>
      <c r="B1" s="17" t="s">
        <v>583</v>
      </c>
      <c r="C1" s="18" t="s">
        <v>612</v>
      </c>
      <c r="D1" s="18" t="s">
        <v>584</v>
      </c>
      <c r="E1" s="18" t="s">
        <v>626</v>
      </c>
      <c r="F1" s="18" t="s">
        <v>613</v>
      </c>
      <c r="G1" s="18" t="s">
        <v>614</v>
      </c>
      <c r="H1" s="18" t="s">
        <v>611</v>
      </c>
      <c r="I1" s="18" t="s">
        <v>615</v>
      </c>
      <c r="J1" s="18" t="s">
        <v>627</v>
      </c>
      <c r="K1" s="18" t="s">
        <v>628</v>
      </c>
      <c r="L1" s="18" t="s">
        <v>616</v>
      </c>
      <c r="M1" s="18" t="s">
        <v>629</v>
      </c>
      <c r="N1" s="18" t="s">
        <v>630</v>
      </c>
      <c r="O1" s="18" t="s">
        <v>617</v>
      </c>
      <c r="P1" s="18" t="s">
        <v>631</v>
      </c>
      <c r="Q1" s="18" t="s">
        <v>618</v>
      </c>
      <c r="R1" s="18" t="s">
        <v>632</v>
      </c>
      <c r="S1" s="18" t="s">
        <v>610</v>
      </c>
      <c r="T1" s="18" t="s">
        <v>633</v>
      </c>
      <c r="U1" s="18" t="s">
        <v>619</v>
      </c>
      <c r="V1" s="18" t="s">
        <v>608</v>
      </c>
      <c r="W1" s="18" t="s">
        <v>620</v>
      </c>
      <c r="X1" s="18" t="s">
        <v>609</v>
      </c>
      <c r="Y1" s="18" t="s">
        <v>621</v>
      </c>
      <c r="Z1" s="18" t="s">
        <v>634</v>
      </c>
      <c r="AA1" s="18" t="s">
        <v>622</v>
      </c>
      <c r="AB1" s="18" t="s">
        <v>635</v>
      </c>
      <c r="AC1" s="18" t="s">
        <v>636</v>
      </c>
      <c r="AD1" s="18" t="s">
        <v>623</v>
      </c>
      <c r="AE1" s="18" t="s">
        <v>624</v>
      </c>
      <c r="AF1" s="18" t="s">
        <v>637</v>
      </c>
      <c r="AG1" s="18" t="s">
        <v>638</v>
      </c>
      <c r="AH1" s="21" t="s">
        <v>646</v>
      </c>
      <c r="AI1" s="21" t="s">
        <v>648</v>
      </c>
      <c r="AJ1" s="21" t="s">
        <v>647</v>
      </c>
      <c r="AK1" s="21" t="s">
        <v>649</v>
      </c>
      <c r="AL1" s="21" t="s">
        <v>650</v>
      </c>
      <c r="AM1" s="21" t="s">
        <v>651</v>
      </c>
      <c r="AN1" s="21" t="s">
        <v>652</v>
      </c>
      <c r="AO1" s="21" t="s">
        <v>653</v>
      </c>
      <c r="AP1" s="21" t="s">
        <v>654</v>
      </c>
      <c r="AQ1" s="21" t="s">
        <v>655</v>
      </c>
      <c r="AR1" s="21" t="s">
        <v>656</v>
      </c>
      <c r="AS1" s="21" t="s">
        <v>657</v>
      </c>
      <c r="AT1" s="21" t="s">
        <v>658</v>
      </c>
      <c r="AU1" s="21" t="s">
        <v>659</v>
      </c>
      <c r="AV1" s="21" t="s">
        <v>660</v>
      </c>
      <c r="AW1" s="21" t="s">
        <v>661</v>
      </c>
      <c r="AX1" s="21" t="s">
        <v>662</v>
      </c>
      <c r="AY1" s="21" t="s">
        <v>663</v>
      </c>
      <c r="AZ1" s="21" t="s">
        <v>664</v>
      </c>
      <c r="BA1" s="21" t="s">
        <v>665</v>
      </c>
      <c r="BB1" s="21" t="s">
        <v>666</v>
      </c>
      <c r="BC1" s="21" t="s">
        <v>667</v>
      </c>
      <c r="BD1" s="21" t="s">
        <v>668</v>
      </c>
      <c r="BE1" s="21" t="s">
        <v>669</v>
      </c>
      <c r="BF1" s="18" t="s">
        <v>625</v>
      </c>
      <c r="BG1" s="18" t="s">
        <v>645</v>
      </c>
    </row>
    <row r="2" spans="1:64" ht="15" customHeight="1" x14ac:dyDescent="0.25">
      <c r="A2" s="6" t="s">
        <v>141</v>
      </c>
      <c r="B2" s="4" t="s">
        <v>3</v>
      </c>
      <c r="C2" s="19">
        <v>1</v>
      </c>
      <c r="D2" s="3">
        <v>1</v>
      </c>
      <c r="E2" s="3"/>
      <c r="F2" s="3"/>
      <c r="G2" s="3"/>
      <c r="H2" s="3">
        <v>7</v>
      </c>
      <c r="I2" s="3"/>
      <c r="J2" s="3"/>
      <c r="K2" s="3">
        <v>6</v>
      </c>
      <c r="L2" s="3"/>
      <c r="M2" s="3"/>
      <c r="N2" s="3"/>
      <c r="O2" s="3">
        <v>3</v>
      </c>
      <c r="P2" s="3"/>
      <c r="Q2" s="3">
        <v>9</v>
      </c>
      <c r="R2" s="3"/>
      <c r="S2" s="3"/>
      <c r="T2" s="3"/>
      <c r="U2" s="3">
        <v>6</v>
      </c>
      <c r="V2" s="3">
        <v>4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ht="15" customHeight="1" x14ac:dyDescent="0.25">
      <c r="A3" s="6" t="s">
        <v>145</v>
      </c>
      <c r="B3" s="4" t="s">
        <v>11</v>
      </c>
      <c r="C3" s="19">
        <v>2</v>
      </c>
      <c r="D3" s="3">
        <v>1</v>
      </c>
      <c r="E3" s="3"/>
      <c r="F3" s="3"/>
      <c r="G3" s="3"/>
      <c r="H3" s="3">
        <v>7</v>
      </c>
      <c r="I3" s="3"/>
      <c r="J3" s="3"/>
      <c r="K3" s="3">
        <v>7</v>
      </c>
      <c r="L3" s="3"/>
      <c r="M3" s="3"/>
      <c r="N3" s="3"/>
      <c r="O3" s="3">
        <v>5</v>
      </c>
      <c r="P3" s="3"/>
      <c r="Q3" s="3">
        <v>1</v>
      </c>
      <c r="R3" s="3"/>
      <c r="S3" s="3"/>
      <c r="T3" s="3"/>
      <c r="U3" s="3">
        <v>3</v>
      </c>
      <c r="V3" s="3">
        <v>3</v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I3" s="3"/>
      <c r="BJ3" s="3"/>
      <c r="BK3" s="3"/>
      <c r="BL3" s="3"/>
    </row>
    <row r="4" spans="1:64" ht="15" customHeight="1" x14ac:dyDescent="0.25">
      <c r="A4" s="6" t="s">
        <v>152</v>
      </c>
      <c r="B4" s="4" t="s">
        <v>29</v>
      </c>
      <c r="C4" s="19">
        <v>2</v>
      </c>
      <c r="D4" s="3">
        <v>3</v>
      </c>
      <c r="E4" s="3"/>
      <c r="F4" s="3"/>
      <c r="G4" s="3"/>
      <c r="H4" s="3">
        <v>6</v>
      </c>
      <c r="I4" s="3"/>
      <c r="J4" s="3"/>
      <c r="K4" s="3">
        <v>7</v>
      </c>
      <c r="L4" s="3"/>
      <c r="M4" s="3">
        <v>3</v>
      </c>
      <c r="N4" s="3"/>
      <c r="O4" s="3">
        <v>5</v>
      </c>
      <c r="P4" s="3"/>
      <c r="Q4" s="3">
        <v>1</v>
      </c>
      <c r="R4" s="3"/>
      <c r="S4" s="3"/>
      <c r="T4" s="3"/>
      <c r="U4" s="3">
        <v>5</v>
      </c>
      <c r="V4" s="3">
        <v>5</v>
      </c>
      <c r="W4" s="3"/>
      <c r="X4" s="3"/>
      <c r="Y4" s="3"/>
      <c r="Z4" s="3"/>
      <c r="AA4" s="3"/>
      <c r="AB4" s="3"/>
      <c r="AC4" s="3"/>
      <c r="AD4" s="3"/>
      <c r="AE4" s="3"/>
      <c r="AF4" s="3">
        <v>6</v>
      </c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</row>
    <row r="5" spans="1:64" ht="15" customHeight="1" x14ac:dyDescent="0.25">
      <c r="A5" s="6" t="s">
        <v>153</v>
      </c>
      <c r="B5" s="4" t="s">
        <v>35</v>
      </c>
      <c r="C5" s="19">
        <v>1</v>
      </c>
      <c r="D5" s="3">
        <v>1</v>
      </c>
      <c r="E5" s="3">
        <v>1</v>
      </c>
      <c r="F5" s="3">
        <v>2</v>
      </c>
      <c r="G5" s="3"/>
      <c r="H5" s="3"/>
      <c r="I5" s="3">
        <v>3</v>
      </c>
      <c r="J5" s="3"/>
      <c r="K5" s="3">
        <v>5</v>
      </c>
      <c r="L5" s="3">
        <v>5</v>
      </c>
      <c r="M5" s="3">
        <v>2</v>
      </c>
      <c r="N5" s="3"/>
      <c r="O5" s="3">
        <v>1</v>
      </c>
      <c r="P5" s="3"/>
      <c r="Q5" s="3">
        <v>1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>
        <v>9</v>
      </c>
      <c r="AE5" s="3">
        <v>7</v>
      </c>
      <c r="AF5" s="3">
        <v>5</v>
      </c>
      <c r="AG5" s="3">
        <v>6</v>
      </c>
      <c r="AH5" s="3">
        <v>9</v>
      </c>
      <c r="AI5" s="3">
        <v>9</v>
      </c>
      <c r="AJ5" s="3">
        <v>9</v>
      </c>
      <c r="AK5" s="3">
        <v>9</v>
      </c>
      <c r="AL5" s="3">
        <v>9</v>
      </c>
      <c r="AM5" s="3">
        <v>9</v>
      </c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>
        <v>1</v>
      </c>
      <c r="BG5" s="3"/>
      <c r="BH5" s="3"/>
    </row>
    <row r="6" spans="1:64" ht="15" customHeight="1" x14ac:dyDescent="0.25">
      <c r="A6" s="6" t="s">
        <v>154</v>
      </c>
      <c r="B6" s="4" t="s">
        <v>36</v>
      </c>
      <c r="C6" s="19">
        <v>2</v>
      </c>
      <c r="D6" s="3">
        <v>1</v>
      </c>
      <c r="E6" s="3">
        <v>1</v>
      </c>
      <c r="F6" s="3"/>
      <c r="G6" s="3"/>
      <c r="H6" s="3">
        <v>5</v>
      </c>
      <c r="I6" s="3">
        <v>3</v>
      </c>
      <c r="J6" s="3"/>
      <c r="K6" s="3"/>
      <c r="L6" s="3">
        <v>7</v>
      </c>
      <c r="M6" s="3">
        <v>4</v>
      </c>
      <c r="N6" s="3"/>
      <c r="O6" s="3"/>
      <c r="P6" s="3"/>
      <c r="Q6" s="3">
        <v>1</v>
      </c>
      <c r="R6" s="3"/>
      <c r="S6" s="3"/>
      <c r="T6" s="3"/>
      <c r="U6" s="3">
        <v>5</v>
      </c>
      <c r="V6" s="3"/>
      <c r="W6" s="3"/>
      <c r="X6" s="3">
        <v>7</v>
      </c>
      <c r="Y6" s="3"/>
      <c r="Z6" s="3"/>
      <c r="AA6" s="3"/>
      <c r="AB6" s="3"/>
      <c r="AC6" s="3">
        <v>7</v>
      </c>
      <c r="AD6" s="3">
        <v>1</v>
      </c>
      <c r="AE6" s="3"/>
      <c r="AF6" s="3">
        <v>7</v>
      </c>
      <c r="AG6" s="3">
        <v>9</v>
      </c>
      <c r="AH6" s="3">
        <v>9</v>
      </c>
      <c r="AI6" s="3">
        <v>9</v>
      </c>
      <c r="AJ6" s="3">
        <v>9</v>
      </c>
      <c r="AK6" s="3">
        <v>9</v>
      </c>
      <c r="AL6" s="3">
        <v>9</v>
      </c>
      <c r="AM6" s="3">
        <v>1</v>
      </c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>
        <v>9</v>
      </c>
      <c r="BG6" s="3"/>
    </row>
    <row r="7" spans="1:64" ht="15" customHeight="1" x14ac:dyDescent="0.25">
      <c r="A7" s="6" t="s">
        <v>155</v>
      </c>
      <c r="B7" s="4" t="s">
        <v>37</v>
      </c>
      <c r="C7" s="19"/>
      <c r="D7" s="3">
        <v>1</v>
      </c>
      <c r="E7" s="3">
        <v>1</v>
      </c>
      <c r="F7" s="3"/>
      <c r="G7" s="3"/>
      <c r="H7" s="3"/>
      <c r="I7" s="3">
        <v>3</v>
      </c>
      <c r="J7" s="3"/>
      <c r="K7" s="3"/>
      <c r="L7" s="3">
        <v>5</v>
      </c>
      <c r="M7" s="3"/>
      <c r="N7" s="3"/>
      <c r="O7" s="3"/>
      <c r="P7" s="3"/>
      <c r="Q7" s="3">
        <v>1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>
        <v>1</v>
      </c>
      <c r="AI7" s="3">
        <v>1</v>
      </c>
      <c r="AJ7" s="3">
        <v>9</v>
      </c>
      <c r="AK7" s="3">
        <v>1</v>
      </c>
      <c r="AL7" s="3">
        <v>9</v>
      </c>
      <c r="AM7" s="3">
        <v>1</v>
      </c>
      <c r="AN7" s="3">
        <v>1</v>
      </c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>
        <v>1</v>
      </c>
      <c r="BG7" s="3"/>
    </row>
    <row r="8" spans="1:64" ht="15" customHeight="1" x14ac:dyDescent="0.25">
      <c r="A8" s="6" t="s">
        <v>159</v>
      </c>
      <c r="B8" s="4" t="s">
        <v>47</v>
      </c>
      <c r="C8" s="19">
        <v>2</v>
      </c>
      <c r="D8" s="3">
        <v>3</v>
      </c>
      <c r="E8" s="3"/>
      <c r="F8" s="3"/>
      <c r="G8" s="3"/>
      <c r="H8" s="3">
        <v>6</v>
      </c>
      <c r="I8" s="3"/>
      <c r="J8" s="3"/>
      <c r="K8" s="3">
        <v>6</v>
      </c>
      <c r="L8" s="3"/>
      <c r="M8" s="3"/>
      <c r="N8" s="3"/>
      <c r="O8" s="3">
        <v>3</v>
      </c>
      <c r="P8" s="3"/>
      <c r="Q8" s="3">
        <v>1</v>
      </c>
      <c r="R8" s="3"/>
      <c r="S8" s="3"/>
      <c r="T8" s="3"/>
      <c r="U8" s="3">
        <v>6</v>
      </c>
      <c r="V8" s="3">
        <v>5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</row>
    <row r="9" spans="1:64" ht="15" customHeight="1" x14ac:dyDescent="0.25">
      <c r="A9" s="6" t="s">
        <v>170</v>
      </c>
      <c r="B9" s="4" t="s">
        <v>67</v>
      </c>
      <c r="C9" s="19">
        <v>2</v>
      </c>
      <c r="D9" s="3">
        <v>1</v>
      </c>
      <c r="E9" s="3">
        <v>1</v>
      </c>
      <c r="F9" s="3"/>
      <c r="G9" s="3"/>
      <c r="H9" s="3">
        <v>6</v>
      </c>
      <c r="I9" s="3">
        <v>3</v>
      </c>
      <c r="J9" s="3"/>
      <c r="K9" s="3">
        <v>6</v>
      </c>
      <c r="L9" s="3">
        <v>7</v>
      </c>
      <c r="M9" s="3">
        <v>3</v>
      </c>
      <c r="N9" s="3"/>
      <c r="O9" s="3"/>
      <c r="P9" s="3"/>
      <c r="Q9" s="3">
        <v>1</v>
      </c>
      <c r="R9" s="3"/>
      <c r="S9" s="3"/>
      <c r="T9" s="3"/>
      <c r="U9" s="3">
        <v>2</v>
      </c>
      <c r="V9" s="3"/>
      <c r="W9" s="3"/>
      <c r="X9" s="3"/>
      <c r="Y9" s="3"/>
      <c r="Z9" s="3"/>
      <c r="AA9" s="3"/>
      <c r="AB9" s="3"/>
      <c r="AC9" s="3"/>
      <c r="AD9" s="3">
        <v>1</v>
      </c>
      <c r="AE9" s="3"/>
      <c r="AF9" s="3">
        <v>6</v>
      </c>
      <c r="AG9" s="3">
        <v>7</v>
      </c>
      <c r="AH9" s="3">
        <v>9</v>
      </c>
      <c r="AI9" s="3">
        <v>1</v>
      </c>
      <c r="AJ9" s="3">
        <v>1</v>
      </c>
      <c r="AK9" s="3">
        <v>9</v>
      </c>
      <c r="AL9" s="3">
        <v>9</v>
      </c>
      <c r="AM9" s="3">
        <v>9</v>
      </c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I9" s="3"/>
      <c r="BJ9" s="3"/>
      <c r="BK9" s="3"/>
      <c r="BL9" s="3"/>
    </row>
    <row r="10" spans="1:64" ht="15" customHeight="1" x14ac:dyDescent="0.25">
      <c r="A10" s="6" t="s">
        <v>175</v>
      </c>
      <c r="B10" s="4" t="s">
        <v>75</v>
      </c>
      <c r="C10" s="19">
        <v>2</v>
      </c>
      <c r="D10" s="3">
        <v>3</v>
      </c>
      <c r="E10" s="3">
        <v>1</v>
      </c>
      <c r="F10" s="3">
        <v>2</v>
      </c>
      <c r="G10" s="3">
        <v>1</v>
      </c>
      <c r="H10" s="3">
        <v>6</v>
      </c>
      <c r="I10" s="3">
        <v>3</v>
      </c>
      <c r="J10" s="3">
        <v>7</v>
      </c>
      <c r="K10" s="3">
        <v>7</v>
      </c>
      <c r="L10" s="3">
        <v>6</v>
      </c>
      <c r="M10" s="3">
        <v>3</v>
      </c>
      <c r="N10" s="3">
        <v>5</v>
      </c>
      <c r="O10" s="3">
        <v>3</v>
      </c>
      <c r="P10" s="3">
        <v>4</v>
      </c>
      <c r="Q10" s="3">
        <v>1</v>
      </c>
      <c r="R10" s="3"/>
      <c r="S10" s="3"/>
      <c r="T10" s="3"/>
      <c r="U10" s="3">
        <v>6</v>
      </c>
      <c r="V10" s="3">
        <v>1</v>
      </c>
      <c r="W10" s="3"/>
      <c r="X10" s="3"/>
      <c r="Y10" s="3">
        <v>1</v>
      </c>
      <c r="Z10" s="3"/>
      <c r="AA10" s="3"/>
      <c r="AB10" s="3">
        <v>1</v>
      </c>
      <c r="AC10" s="3"/>
      <c r="AD10" s="3">
        <v>1</v>
      </c>
      <c r="AE10" s="3"/>
      <c r="AF10" s="3">
        <v>4</v>
      </c>
      <c r="AG10" s="3">
        <v>7</v>
      </c>
      <c r="AH10" s="3">
        <v>9</v>
      </c>
      <c r="AI10" s="3">
        <v>9</v>
      </c>
      <c r="AJ10" s="3">
        <v>9</v>
      </c>
      <c r="AK10" s="3">
        <v>9</v>
      </c>
      <c r="AL10" s="3">
        <v>9</v>
      </c>
      <c r="AM10" s="3">
        <v>9</v>
      </c>
      <c r="AN10" s="3">
        <v>9</v>
      </c>
      <c r="AO10" s="3">
        <v>9</v>
      </c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>
        <v>1</v>
      </c>
      <c r="BG10" s="3"/>
      <c r="BI10" s="3"/>
      <c r="BJ10" s="3"/>
      <c r="BK10" s="3"/>
      <c r="BL10" s="3"/>
    </row>
    <row r="11" spans="1:64" ht="15" customHeight="1" x14ac:dyDescent="0.25">
      <c r="A11" s="6" t="s">
        <v>186</v>
      </c>
      <c r="B11" s="4" t="s">
        <v>97</v>
      </c>
      <c r="C11" s="19">
        <v>2</v>
      </c>
      <c r="D11" s="3">
        <v>1</v>
      </c>
      <c r="E11" s="3">
        <v>1</v>
      </c>
      <c r="F11" s="3">
        <v>3</v>
      </c>
      <c r="G11" s="3">
        <v>1</v>
      </c>
      <c r="H11" s="3">
        <v>6</v>
      </c>
      <c r="I11" s="3">
        <v>3</v>
      </c>
      <c r="J11" s="3">
        <v>7</v>
      </c>
      <c r="K11" s="3">
        <v>7</v>
      </c>
      <c r="L11" s="3">
        <v>7</v>
      </c>
      <c r="M11" s="3">
        <v>3</v>
      </c>
      <c r="N11" s="3">
        <v>5</v>
      </c>
      <c r="O11" s="3">
        <v>4</v>
      </c>
      <c r="P11" s="3">
        <v>5</v>
      </c>
      <c r="Q11" s="3">
        <v>1</v>
      </c>
      <c r="R11" s="3"/>
      <c r="S11" s="3"/>
      <c r="T11" s="3"/>
      <c r="U11" s="3">
        <v>2</v>
      </c>
      <c r="V11" s="3">
        <v>3</v>
      </c>
      <c r="W11" s="3">
        <v>6</v>
      </c>
      <c r="X11" s="3">
        <v>4</v>
      </c>
      <c r="Y11" s="3">
        <v>1</v>
      </c>
      <c r="Z11" s="3"/>
      <c r="AA11" s="3"/>
      <c r="AB11" s="3">
        <v>1</v>
      </c>
      <c r="AC11" s="3"/>
      <c r="AD11" s="3">
        <v>9</v>
      </c>
      <c r="AE11" s="3">
        <v>2</v>
      </c>
      <c r="AF11" s="3">
        <v>4</v>
      </c>
      <c r="AG11" s="3">
        <v>7</v>
      </c>
      <c r="AH11" s="3">
        <v>9</v>
      </c>
      <c r="AI11" s="3">
        <v>9</v>
      </c>
      <c r="AJ11" s="3">
        <v>9</v>
      </c>
      <c r="AK11" s="3">
        <v>9</v>
      </c>
      <c r="AL11" s="3">
        <v>9</v>
      </c>
      <c r="AM11" s="3">
        <v>9</v>
      </c>
      <c r="AN11" s="3">
        <v>9</v>
      </c>
      <c r="AO11" s="3">
        <v>9</v>
      </c>
      <c r="AP11" s="3">
        <v>9</v>
      </c>
      <c r="AQ11" s="3">
        <v>9</v>
      </c>
      <c r="AR11" s="3">
        <v>9</v>
      </c>
      <c r="AS11" s="3"/>
      <c r="AT11" s="3">
        <v>9</v>
      </c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>
        <v>1</v>
      </c>
      <c r="BG11" s="3"/>
    </row>
    <row r="12" spans="1:64" ht="15" customHeight="1" x14ac:dyDescent="0.25">
      <c r="A12" s="6" t="s">
        <v>193</v>
      </c>
      <c r="B12" s="4" t="s">
        <v>113</v>
      </c>
      <c r="C12" s="19">
        <v>2</v>
      </c>
      <c r="D12" s="3">
        <v>1</v>
      </c>
      <c r="E12" s="3">
        <v>1</v>
      </c>
      <c r="F12" s="3">
        <v>4</v>
      </c>
      <c r="G12" s="3">
        <v>1</v>
      </c>
      <c r="H12" s="3">
        <v>5</v>
      </c>
      <c r="I12" s="3">
        <v>3</v>
      </c>
      <c r="J12" s="3">
        <v>6</v>
      </c>
      <c r="K12" s="3">
        <v>7</v>
      </c>
      <c r="L12" s="3">
        <v>5</v>
      </c>
      <c r="M12" s="3">
        <v>3</v>
      </c>
      <c r="N12" s="3">
        <v>6</v>
      </c>
      <c r="O12" s="3">
        <v>3</v>
      </c>
      <c r="P12" s="3">
        <v>5</v>
      </c>
      <c r="Q12" s="3">
        <v>1</v>
      </c>
      <c r="R12" s="3"/>
      <c r="S12" s="3"/>
      <c r="T12" s="3"/>
      <c r="U12" s="3">
        <v>2</v>
      </c>
      <c r="V12" s="3">
        <v>2</v>
      </c>
      <c r="W12" s="3">
        <v>6</v>
      </c>
      <c r="X12" s="3">
        <v>2</v>
      </c>
      <c r="Y12" s="3">
        <v>1</v>
      </c>
      <c r="Z12" s="3"/>
      <c r="AA12" s="3"/>
      <c r="AB12" s="3">
        <v>1</v>
      </c>
      <c r="AC12" s="3"/>
      <c r="AD12" s="3"/>
      <c r="AE12" s="3"/>
      <c r="AF12" s="3">
        <v>5</v>
      </c>
      <c r="AG12" s="3">
        <v>8</v>
      </c>
      <c r="AH12" s="3">
        <v>9</v>
      </c>
      <c r="AI12" s="3">
        <v>9</v>
      </c>
      <c r="AJ12" s="3">
        <v>9</v>
      </c>
      <c r="AK12" s="3">
        <v>9</v>
      </c>
      <c r="AL12" s="3">
        <v>9</v>
      </c>
      <c r="AM12" s="3">
        <v>9</v>
      </c>
      <c r="AN12" s="3">
        <v>9</v>
      </c>
      <c r="AO12" s="3">
        <v>9</v>
      </c>
      <c r="AP12" s="3">
        <v>9</v>
      </c>
      <c r="AQ12" s="3">
        <v>9</v>
      </c>
      <c r="AR12" s="3">
        <v>9</v>
      </c>
      <c r="AS12" s="3">
        <v>9</v>
      </c>
      <c r="AT12" s="3">
        <v>9</v>
      </c>
      <c r="AU12" s="3">
        <v>9</v>
      </c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>
        <v>9</v>
      </c>
      <c r="BG12" s="3"/>
    </row>
    <row r="13" spans="1:64" ht="15" customHeight="1" x14ac:dyDescent="0.25">
      <c r="A13" s="6" t="s">
        <v>194</v>
      </c>
      <c r="B13" s="4" t="s">
        <v>114</v>
      </c>
      <c r="C13" s="19">
        <v>1</v>
      </c>
      <c r="D13" s="3">
        <v>1</v>
      </c>
      <c r="E13" s="3">
        <v>1</v>
      </c>
      <c r="F13" s="3">
        <v>3</v>
      </c>
      <c r="G13" s="3">
        <v>1</v>
      </c>
      <c r="H13" s="3">
        <v>6</v>
      </c>
      <c r="I13" s="3">
        <v>3</v>
      </c>
      <c r="J13" s="3">
        <v>4</v>
      </c>
      <c r="K13" s="3"/>
      <c r="L13" s="3">
        <v>7</v>
      </c>
      <c r="M13" s="3">
        <v>3</v>
      </c>
      <c r="N13" s="3">
        <v>6</v>
      </c>
      <c r="O13" s="3">
        <v>3</v>
      </c>
      <c r="P13" s="3">
        <v>4</v>
      </c>
      <c r="Q13" s="3">
        <v>1</v>
      </c>
      <c r="R13" s="3"/>
      <c r="S13" s="3"/>
      <c r="T13" s="3"/>
      <c r="U13" s="3">
        <v>5</v>
      </c>
      <c r="V13" s="3">
        <v>3</v>
      </c>
      <c r="W13" s="3">
        <v>5</v>
      </c>
      <c r="X13" s="3">
        <v>2</v>
      </c>
      <c r="Y13" s="3">
        <v>1</v>
      </c>
      <c r="Z13" s="3"/>
      <c r="AA13" s="3"/>
      <c r="AB13" s="3">
        <v>1</v>
      </c>
      <c r="AC13" s="3"/>
      <c r="AD13" s="3">
        <v>1</v>
      </c>
      <c r="AE13" s="3"/>
      <c r="AF13" s="3">
        <v>5</v>
      </c>
      <c r="AG13" s="3">
        <v>2</v>
      </c>
      <c r="AH13" s="3">
        <v>9</v>
      </c>
      <c r="AI13" s="3">
        <v>9</v>
      </c>
      <c r="AJ13" s="3">
        <v>9</v>
      </c>
      <c r="AK13" s="3">
        <v>9</v>
      </c>
      <c r="AL13" s="3">
        <v>9</v>
      </c>
      <c r="AM13" s="3">
        <v>9</v>
      </c>
      <c r="AN13" s="3">
        <v>9</v>
      </c>
      <c r="AO13" s="3">
        <v>9</v>
      </c>
      <c r="AP13" s="3">
        <v>9</v>
      </c>
      <c r="AQ13" s="3">
        <v>9</v>
      </c>
      <c r="AR13" s="3">
        <v>9</v>
      </c>
      <c r="AS13" s="3">
        <v>9</v>
      </c>
      <c r="AT13" s="3">
        <v>9</v>
      </c>
      <c r="AU13" s="3">
        <v>9</v>
      </c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>
        <v>1</v>
      </c>
      <c r="BG13" s="3"/>
    </row>
    <row r="14" spans="1:64" ht="15" customHeight="1" x14ac:dyDescent="0.25">
      <c r="A14" s="6" t="s">
        <v>195</v>
      </c>
      <c r="B14" s="4" t="s">
        <v>118</v>
      </c>
      <c r="C14" s="19">
        <v>1</v>
      </c>
      <c r="D14" s="3">
        <v>1</v>
      </c>
      <c r="E14" s="3">
        <v>1</v>
      </c>
      <c r="F14" s="3">
        <v>3</v>
      </c>
      <c r="G14" s="3">
        <v>1</v>
      </c>
      <c r="H14" s="3">
        <v>5</v>
      </c>
      <c r="I14" s="3">
        <v>3</v>
      </c>
      <c r="J14" s="3">
        <v>5</v>
      </c>
      <c r="K14" s="3"/>
      <c r="L14" s="3">
        <v>5</v>
      </c>
      <c r="M14" s="3">
        <v>3</v>
      </c>
      <c r="N14" s="3">
        <v>4</v>
      </c>
      <c r="O14" s="3">
        <v>3</v>
      </c>
      <c r="P14" s="3">
        <v>4</v>
      </c>
      <c r="Q14" s="3">
        <v>1</v>
      </c>
      <c r="R14" s="3"/>
      <c r="S14" s="3"/>
      <c r="T14" s="3"/>
      <c r="U14" s="3">
        <v>4</v>
      </c>
      <c r="V14" s="3">
        <v>3</v>
      </c>
      <c r="W14" s="3">
        <v>5</v>
      </c>
      <c r="X14" s="3">
        <v>1</v>
      </c>
      <c r="Y14" s="3">
        <v>1</v>
      </c>
      <c r="Z14" s="3"/>
      <c r="AA14" s="3"/>
      <c r="AB14" s="3">
        <v>1</v>
      </c>
      <c r="AC14" s="3"/>
      <c r="AD14" s="3">
        <v>9</v>
      </c>
      <c r="AE14" s="3"/>
      <c r="AF14" s="3">
        <v>5</v>
      </c>
      <c r="AG14" s="3">
        <v>9</v>
      </c>
      <c r="AH14" s="3">
        <v>9</v>
      </c>
      <c r="AI14" s="3">
        <v>9</v>
      </c>
      <c r="AJ14" s="3">
        <v>9</v>
      </c>
      <c r="AK14" s="3">
        <v>9</v>
      </c>
      <c r="AL14" s="3">
        <v>9</v>
      </c>
      <c r="AM14" s="3">
        <v>9</v>
      </c>
      <c r="AN14" s="3">
        <v>9</v>
      </c>
      <c r="AO14" s="3">
        <v>9</v>
      </c>
      <c r="AP14" s="3">
        <v>9</v>
      </c>
      <c r="AQ14" s="3">
        <v>9</v>
      </c>
      <c r="AR14" s="3">
        <v>9</v>
      </c>
      <c r="AS14" s="3">
        <v>9</v>
      </c>
      <c r="AT14" s="3">
        <v>9</v>
      </c>
      <c r="AU14" s="3">
        <v>9</v>
      </c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>
        <v>1</v>
      </c>
      <c r="BG14" s="3"/>
      <c r="BI14" s="3"/>
      <c r="BJ14" s="3"/>
      <c r="BK14" s="3"/>
      <c r="BL14" s="3"/>
    </row>
    <row r="15" spans="1:64" ht="15" customHeight="1" x14ac:dyDescent="0.25">
      <c r="A15" s="6" t="s">
        <v>196</v>
      </c>
      <c r="B15" s="4" t="s">
        <v>119</v>
      </c>
      <c r="C15" s="19">
        <v>2</v>
      </c>
      <c r="D15" s="3">
        <v>1</v>
      </c>
      <c r="E15" s="3">
        <v>1</v>
      </c>
      <c r="F15" s="3">
        <v>3</v>
      </c>
      <c r="G15" s="3">
        <v>1</v>
      </c>
      <c r="H15" s="3">
        <v>5</v>
      </c>
      <c r="I15" s="3">
        <v>3</v>
      </c>
      <c r="J15" s="3">
        <v>5</v>
      </c>
      <c r="K15" s="3">
        <v>6</v>
      </c>
      <c r="L15" s="3">
        <v>5</v>
      </c>
      <c r="M15" s="3">
        <v>3</v>
      </c>
      <c r="N15" s="3">
        <v>5</v>
      </c>
      <c r="O15" s="3">
        <v>3</v>
      </c>
      <c r="P15" s="3">
        <v>4</v>
      </c>
      <c r="Q15" s="3">
        <v>1</v>
      </c>
      <c r="R15" s="3"/>
      <c r="S15" s="3"/>
      <c r="T15" s="3"/>
      <c r="U15" s="3">
        <v>5</v>
      </c>
      <c r="V15" s="3">
        <v>6</v>
      </c>
      <c r="W15" s="3">
        <v>5</v>
      </c>
      <c r="X15" s="3">
        <v>4</v>
      </c>
      <c r="Y15" s="3">
        <v>1</v>
      </c>
      <c r="Z15" s="3"/>
      <c r="AA15" s="3"/>
      <c r="AB15" s="3">
        <v>1</v>
      </c>
      <c r="AC15" s="3"/>
      <c r="AD15" s="3">
        <v>1</v>
      </c>
      <c r="AE15" s="3"/>
      <c r="AF15" s="3">
        <v>5</v>
      </c>
      <c r="AG15" s="3">
        <v>8</v>
      </c>
      <c r="AH15" s="3">
        <v>9</v>
      </c>
      <c r="AI15" s="3">
        <v>9</v>
      </c>
      <c r="AJ15" s="3">
        <v>9</v>
      </c>
      <c r="AK15" s="3">
        <v>9</v>
      </c>
      <c r="AL15" s="3">
        <v>9</v>
      </c>
      <c r="AM15" s="3">
        <v>9</v>
      </c>
      <c r="AN15" s="3">
        <v>9</v>
      </c>
      <c r="AO15" s="3">
        <v>9</v>
      </c>
      <c r="AP15" s="3">
        <v>9</v>
      </c>
      <c r="AQ15" s="3">
        <v>9</v>
      </c>
      <c r="AR15" s="3">
        <v>9</v>
      </c>
      <c r="AS15" s="3">
        <v>9</v>
      </c>
      <c r="AT15" s="3">
        <v>9</v>
      </c>
      <c r="AU15" s="3">
        <v>9</v>
      </c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>
        <v>9</v>
      </c>
      <c r="BG15" s="3"/>
    </row>
    <row r="16" spans="1:64" ht="15" customHeight="1" x14ac:dyDescent="0.25">
      <c r="A16" s="6" t="s">
        <v>197</v>
      </c>
      <c r="B16" s="4" t="s">
        <v>120</v>
      </c>
      <c r="C16" s="19">
        <v>1</v>
      </c>
      <c r="D16" s="3">
        <v>1</v>
      </c>
      <c r="E16" s="3">
        <v>1</v>
      </c>
      <c r="F16" s="3">
        <v>5</v>
      </c>
      <c r="G16" s="3">
        <v>1</v>
      </c>
      <c r="H16" s="3">
        <v>6</v>
      </c>
      <c r="I16" s="3">
        <v>3</v>
      </c>
      <c r="J16" s="3">
        <v>5</v>
      </c>
      <c r="K16" s="3">
        <v>7</v>
      </c>
      <c r="L16" s="3">
        <v>4</v>
      </c>
      <c r="M16" s="3">
        <v>3</v>
      </c>
      <c r="N16" s="3">
        <v>4</v>
      </c>
      <c r="O16" s="3">
        <v>4</v>
      </c>
      <c r="P16" s="3">
        <v>4</v>
      </c>
      <c r="Q16" s="3">
        <v>1</v>
      </c>
      <c r="R16" s="3"/>
      <c r="S16" s="3"/>
      <c r="T16" s="3"/>
      <c r="U16" s="3">
        <v>4</v>
      </c>
      <c r="V16" s="3">
        <v>3</v>
      </c>
      <c r="W16" s="3">
        <v>5</v>
      </c>
      <c r="X16" s="3">
        <v>1</v>
      </c>
      <c r="Y16" s="3">
        <v>1</v>
      </c>
      <c r="Z16" s="3"/>
      <c r="AA16" s="3"/>
      <c r="AB16" s="3">
        <v>1</v>
      </c>
      <c r="AC16" s="3">
        <v>1</v>
      </c>
      <c r="AD16" s="3">
        <v>1</v>
      </c>
      <c r="AE16" s="3"/>
      <c r="AF16" s="3">
        <v>4</v>
      </c>
      <c r="AG16" s="3">
        <v>3</v>
      </c>
      <c r="AH16" s="3">
        <v>9</v>
      </c>
      <c r="AI16" s="3">
        <v>9</v>
      </c>
      <c r="AJ16" s="3">
        <v>9</v>
      </c>
      <c r="AK16" s="3">
        <v>9</v>
      </c>
      <c r="AL16" s="3">
        <v>9</v>
      </c>
      <c r="AM16" s="3">
        <v>9</v>
      </c>
      <c r="AN16" s="3">
        <v>9</v>
      </c>
      <c r="AO16" s="3">
        <v>9</v>
      </c>
      <c r="AP16" s="3">
        <v>9</v>
      </c>
      <c r="AQ16" s="3">
        <v>9</v>
      </c>
      <c r="AR16" s="3">
        <v>9</v>
      </c>
      <c r="AS16" s="3">
        <v>9</v>
      </c>
      <c r="AT16" s="3">
        <v>9</v>
      </c>
      <c r="AU16" s="3">
        <v>9</v>
      </c>
      <c r="AV16" s="3">
        <v>9</v>
      </c>
      <c r="AW16" s="3">
        <v>9</v>
      </c>
      <c r="AX16" s="3"/>
      <c r="AY16" s="3">
        <v>9</v>
      </c>
      <c r="AZ16" s="3">
        <v>9</v>
      </c>
      <c r="BA16" s="3">
        <v>9</v>
      </c>
      <c r="BB16" s="3">
        <v>9</v>
      </c>
      <c r="BC16" s="3">
        <v>9</v>
      </c>
      <c r="BD16" s="3"/>
      <c r="BE16" s="3"/>
      <c r="BF16" s="3">
        <v>1</v>
      </c>
      <c r="BG16" s="3"/>
      <c r="BH16" s="3"/>
      <c r="BI16" s="3"/>
      <c r="BJ16" s="3"/>
      <c r="BK16" s="3"/>
      <c r="BL16" s="3"/>
    </row>
    <row r="17" spans="1:60" ht="15" customHeight="1" x14ac:dyDescent="0.25">
      <c r="A17" s="6" t="s">
        <v>199</v>
      </c>
      <c r="B17" s="4" t="s">
        <v>4</v>
      </c>
      <c r="C17" s="19">
        <v>2</v>
      </c>
      <c r="D17" s="3">
        <v>1</v>
      </c>
      <c r="E17" s="3"/>
      <c r="F17" s="3"/>
      <c r="G17" s="3"/>
      <c r="H17" s="3">
        <v>6</v>
      </c>
      <c r="I17" s="3"/>
      <c r="J17" s="3"/>
      <c r="K17" s="3">
        <v>7</v>
      </c>
      <c r="L17" s="3"/>
      <c r="M17" s="3"/>
      <c r="N17" s="3"/>
      <c r="O17" s="3">
        <v>5</v>
      </c>
      <c r="P17" s="3"/>
      <c r="Q17" s="3">
        <v>1</v>
      </c>
      <c r="R17" s="3"/>
      <c r="S17" s="3"/>
      <c r="T17" s="3"/>
      <c r="U17" s="3">
        <v>5</v>
      </c>
      <c r="V17" s="3">
        <v>3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</row>
    <row r="18" spans="1:60" ht="15" customHeight="1" x14ac:dyDescent="0.25">
      <c r="A18" s="6" t="s">
        <v>202</v>
      </c>
      <c r="B18" s="4" t="s">
        <v>15</v>
      </c>
      <c r="C18" s="19">
        <v>2</v>
      </c>
      <c r="D18" s="3">
        <v>1</v>
      </c>
      <c r="E18" s="3">
        <v>9</v>
      </c>
      <c r="F18" s="3"/>
      <c r="G18" s="3"/>
      <c r="H18" s="3">
        <v>7</v>
      </c>
      <c r="I18" s="3"/>
      <c r="J18" s="3"/>
      <c r="K18" s="3">
        <v>6</v>
      </c>
      <c r="L18" s="3"/>
      <c r="M18" s="3"/>
      <c r="N18" s="3"/>
      <c r="O18" s="3">
        <v>3</v>
      </c>
      <c r="P18" s="3"/>
      <c r="Q18" s="3">
        <v>9</v>
      </c>
      <c r="R18" s="3"/>
      <c r="S18" s="3"/>
      <c r="T18" s="3"/>
      <c r="U18" s="3">
        <v>6</v>
      </c>
      <c r="V18" s="3">
        <v>5</v>
      </c>
      <c r="W18" s="3"/>
      <c r="X18" s="3"/>
      <c r="Y18" s="3"/>
      <c r="Z18" s="3"/>
      <c r="AA18" s="3"/>
      <c r="AB18" s="3"/>
      <c r="AC18" s="3"/>
      <c r="AD18" s="3"/>
      <c r="AE18" s="3"/>
      <c r="AF18" s="3">
        <v>6</v>
      </c>
      <c r="AG18" s="3">
        <v>6</v>
      </c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</row>
    <row r="19" spans="1:60" ht="15" customHeight="1" x14ac:dyDescent="0.25">
      <c r="A19" s="6" t="s">
        <v>205</v>
      </c>
      <c r="B19" s="4" t="s">
        <v>30</v>
      </c>
      <c r="C19" s="19">
        <v>2</v>
      </c>
      <c r="D19" s="3">
        <v>1</v>
      </c>
      <c r="E19" s="3"/>
      <c r="F19" s="3"/>
      <c r="G19" s="3"/>
      <c r="H19" s="3">
        <v>6</v>
      </c>
      <c r="I19" s="3"/>
      <c r="J19" s="3"/>
      <c r="K19" s="3">
        <v>6</v>
      </c>
      <c r="L19" s="3"/>
      <c r="M19" s="3"/>
      <c r="N19" s="3"/>
      <c r="O19" s="3">
        <v>3</v>
      </c>
      <c r="P19" s="3"/>
      <c r="Q19" s="3">
        <v>1</v>
      </c>
      <c r="R19" s="3"/>
      <c r="S19" s="3"/>
      <c r="T19" s="3"/>
      <c r="U19" s="3">
        <v>5</v>
      </c>
      <c r="V19" s="3">
        <v>3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</row>
    <row r="20" spans="1:60" ht="15" customHeight="1" x14ac:dyDescent="0.25">
      <c r="A20" s="6" t="s">
        <v>208</v>
      </c>
      <c r="B20" s="4" t="s">
        <v>41</v>
      </c>
      <c r="C20" s="19">
        <v>2</v>
      </c>
      <c r="D20" s="3">
        <v>1</v>
      </c>
      <c r="E20" s="3">
        <v>1</v>
      </c>
      <c r="F20" s="3"/>
      <c r="G20" s="3">
        <v>1</v>
      </c>
      <c r="H20" s="3">
        <v>7</v>
      </c>
      <c r="I20" s="3">
        <v>3</v>
      </c>
      <c r="J20" s="3">
        <v>9</v>
      </c>
      <c r="K20" s="3">
        <v>6</v>
      </c>
      <c r="L20" s="3">
        <v>6</v>
      </c>
      <c r="M20" s="3">
        <v>3</v>
      </c>
      <c r="N20" s="3">
        <v>9</v>
      </c>
      <c r="O20" s="3">
        <v>2</v>
      </c>
      <c r="P20" s="3">
        <v>4</v>
      </c>
      <c r="Q20" s="3">
        <v>1</v>
      </c>
      <c r="R20" s="3"/>
      <c r="S20" s="3"/>
      <c r="T20" s="3"/>
      <c r="U20" s="3">
        <v>6</v>
      </c>
      <c r="V20" s="3">
        <v>3</v>
      </c>
      <c r="W20" s="3">
        <v>3</v>
      </c>
      <c r="X20" s="3">
        <v>5</v>
      </c>
      <c r="Y20" s="3">
        <v>9</v>
      </c>
      <c r="Z20" s="3">
        <v>5</v>
      </c>
      <c r="AA20" s="3">
        <v>9</v>
      </c>
      <c r="AB20" s="3">
        <v>2</v>
      </c>
      <c r="AC20" s="3">
        <v>1</v>
      </c>
      <c r="AD20" s="3"/>
      <c r="AE20" s="3"/>
      <c r="AF20" s="3">
        <v>7</v>
      </c>
      <c r="AG20" s="3">
        <v>7</v>
      </c>
      <c r="AH20" s="3">
        <v>9</v>
      </c>
      <c r="AI20" s="3">
        <v>9</v>
      </c>
      <c r="AJ20" s="3">
        <v>1</v>
      </c>
      <c r="AK20" s="3">
        <v>1</v>
      </c>
      <c r="AL20" s="3">
        <v>1</v>
      </c>
      <c r="AM20" s="3">
        <v>9</v>
      </c>
      <c r="AN20" s="3">
        <v>1</v>
      </c>
      <c r="AO20" s="3">
        <v>1</v>
      </c>
      <c r="AP20" s="3">
        <v>1</v>
      </c>
      <c r="AQ20" s="3">
        <v>1</v>
      </c>
      <c r="AR20" s="3">
        <v>1</v>
      </c>
      <c r="AS20" s="3">
        <v>9</v>
      </c>
      <c r="AT20" s="3">
        <v>1</v>
      </c>
      <c r="AU20" s="3">
        <v>1</v>
      </c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</row>
    <row r="21" spans="1:60" ht="15" customHeight="1" x14ac:dyDescent="0.25">
      <c r="A21" s="6" t="s">
        <v>215</v>
      </c>
      <c r="B21" s="4" t="s">
        <v>102</v>
      </c>
      <c r="C21" s="19">
        <v>1</v>
      </c>
      <c r="D21" s="3">
        <v>3</v>
      </c>
      <c r="E21" s="3">
        <v>1</v>
      </c>
      <c r="F21" s="3">
        <v>4</v>
      </c>
      <c r="G21" s="3">
        <v>1</v>
      </c>
      <c r="H21" s="3">
        <v>5</v>
      </c>
      <c r="I21" s="3">
        <v>3</v>
      </c>
      <c r="J21" s="3">
        <v>7</v>
      </c>
      <c r="K21" s="3">
        <v>7</v>
      </c>
      <c r="L21" s="3">
        <v>5</v>
      </c>
      <c r="M21" s="3">
        <v>4</v>
      </c>
      <c r="N21" s="3">
        <v>6</v>
      </c>
      <c r="O21" s="3">
        <v>2</v>
      </c>
      <c r="P21" s="3">
        <v>6</v>
      </c>
      <c r="Q21" s="3">
        <v>1</v>
      </c>
      <c r="R21" s="3"/>
      <c r="S21" s="3"/>
      <c r="T21" s="3"/>
      <c r="U21" s="3">
        <v>5</v>
      </c>
      <c r="V21" s="3">
        <v>5</v>
      </c>
      <c r="W21" s="3">
        <v>4</v>
      </c>
      <c r="X21" s="3">
        <v>5</v>
      </c>
      <c r="Y21" s="3">
        <v>9</v>
      </c>
      <c r="Z21" s="3">
        <v>4</v>
      </c>
      <c r="AA21" s="3">
        <v>4</v>
      </c>
      <c r="AB21" s="3">
        <v>2</v>
      </c>
      <c r="AC21" s="3"/>
      <c r="AD21" s="3">
        <v>9</v>
      </c>
      <c r="AE21" s="3">
        <v>2</v>
      </c>
      <c r="AF21" s="3">
        <v>8</v>
      </c>
      <c r="AG21" s="3">
        <v>8</v>
      </c>
      <c r="AH21" s="3">
        <v>9</v>
      </c>
      <c r="AI21" s="3">
        <v>9</v>
      </c>
      <c r="AJ21" s="3">
        <v>9</v>
      </c>
      <c r="AK21" s="3">
        <v>9</v>
      </c>
      <c r="AL21" s="3">
        <v>9</v>
      </c>
      <c r="AM21" s="3">
        <v>1</v>
      </c>
      <c r="AN21" s="3">
        <v>9</v>
      </c>
      <c r="AO21" s="3">
        <v>9</v>
      </c>
      <c r="AP21" s="3">
        <v>9</v>
      </c>
      <c r="AQ21" s="3">
        <v>9</v>
      </c>
      <c r="AR21" s="3">
        <v>9</v>
      </c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>
        <v>1</v>
      </c>
      <c r="BG21" s="3"/>
    </row>
    <row r="22" spans="1:60" ht="15" customHeight="1" x14ac:dyDescent="0.25">
      <c r="A22" s="6" t="s">
        <v>219</v>
      </c>
      <c r="B22" s="4" t="s">
        <v>122</v>
      </c>
      <c r="C22" s="19"/>
      <c r="D22" s="3">
        <v>3</v>
      </c>
      <c r="E22" s="3">
        <v>1</v>
      </c>
      <c r="F22" s="3">
        <v>4</v>
      </c>
      <c r="G22" s="3">
        <v>1</v>
      </c>
      <c r="H22" s="3">
        <v>7</v>
      </c>
      <c r="I22" s="3">
        <v>2</v>
      </c>
      <c r="J22" s="3">
        <v>2</v>
      </c>
      <c r="K22" s="3">
        <v>4</v>
      </c>
      <c r="L22" s="3">
        <v>5</v>
      </c>
      <c r="M22" s="3">
        <v>2</v>
      </c>
      <c r="N22" s="3">
        <v>7</v>
      </c>
      <c r="O22" s="3">
        <v>3</v>
      </c>
      <c r="P22" s="3">
        <v>6</v>
      </c>
      <c r="Q22" s="3">
        <v>1</v>
      </c>
      <c r="R22" s="3"/>
      <c r="S22" s="3"/>
      <c r="T22" s="3"/>
      <c r="U22" s="3">
        <v>5</v>
      </c>
      <c r="V22" s="3">
        <v>5</v>
      </c>
      <c r="W22" s="3">
        <v>5</v>
      </c>
      <c r="X22" s="3">
        <v>7</v>
      </c>
      <c r="Y22" s="3">
        <v>9</v>
      </c>
      <c r="Z22" s="3">
        <v>3</v>
      </c>
      <c r="AA22" s="3">
        <v>3</v>
      </c>
      <c r="AB22" s="3">
        <v>2</v>
      </c>
      <c r="AC22" s="3">
        <v>1</v>
      </c>
      <c r="AD22" s="3">
        <v>1</v>
      </c>
      <c r="AE22" s="3"/>
      <c r="AF22" s="3">
        <v>5</v>
      </c>
      <c r="AG22" s="3">
        <v>3</v>
      </c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>
        <v>9</v>
      </c>
      <c r="AV22" s="3">
        <v>9</v>
      </c>
      <c r="AW22" s="3">
        <v>9</v>
      </c>
      <c r="AX22" s="3"/>
      <c r="AY22" s="3">
        <v>9</v>
      </c>
      <c r="AZ22" s="3">
        <v>9</v>
      </c>
      <c r="BA22" s="3">
        <v>9</v>
      </c>
      <c r="BB22" s="3">
        <v>9</v>
      </c>
      <c r="BC22" s="3">
        <v>9</v>
      </c>
      <c r="BD22" s="3">
        <v>9</v>
      </c>
      <c r="BE22" s="3"/>
      <c r="BF22" s="3">
        <v>9</v>
      </c>
      <c r="BG22" s="3"/>
      <c r="BH22" s="3"/>
    </row>
    <row r="23" spans="1:60" ht="15" customHeight="1" x14ac:dyDescent="0.25">
      <c r="A23" s="6" t="s">
        <v>220</v>
      </c>
      <c r="B23" s="1" t="s">
        <v>135</v>
      </c>
      <c r="C23" s="19">
        <v>2</v>
      </c>
      <c r="D23" s="3">
        <v>3</v>
      </c>
      <c r="E23" s="3">
        <v>1</v>
      </c>
      <c r="F23" s="3">
        <v>3</v>
      </c>
      <c r="G23" s="3">
        <v>1</v>
      </c>
      <c r="H23" s="3">
        <v>6</v>
      </c>
      <c r="I23" s="3">
        <v>2</v>
      </c>
      <c r="J23" s="3"/>
      <c r="K23" s="3">
        <v>5</v>
      </c>
      <c r="L23" s="3">
        <v>5</v>
      </c>
      <c r="M23" s="3">
        <v>2</v>
      </c>
      <c r="N23" s="3">
        <v>6</v>
      </c>
      <c r="O23" s="3">
        <v>3</v>
      </c>
      <c r="P23" s="3">
        <v>6</v>
      </c>
      <c r="Q23" s="3">
        <v>1</v>
      </c>
      <c r="R23" s="3"/>
      <c r="S23" s="3"/>
      <c r="T23" s="3"/>
      <c r="U23" s="3">
        <v>3</v>
      </c>
      <c r="V23" s="3">
        <v>3</v>
      </c>
      <c r="W23" s="3">
        <v>3</v>
      </c>
      <c r="X23" s="3">
        <v>6</v>
      </c>
      <c r="Y23" s="3">
        <v>9</v>
      </c>
      <c r="Z23" s="3">
        <v>2</v>
      </c>
      <c r="AA23" s="3">
        <v>7</v>
      </c>
      <c r="AB23" s="3">
        <v>2</v>
      </c>
      <c r="AC23" s="3"/>
      <c r="AD23" s="3">
        <v>1</v>
      </c>
      <c r="AE23" s="3"/>
      <c r="AF23" s="3">
        <v>6</v>
      </c>
      <c r="AG23" s="3">
        <v>9</v>
      </c>
      <c r="AH23" s="3">
        <v>9</v>
      </c>
      <c r="AI23" s="3">
        <v>9</v>
      </c>
      <c r="AJ23" s="3"/>
      <c r="AK23" s="3">
        <v>9</v>
      </c>
      <c r="AL23" s="3">
        <v>9</v>
      </c>
      <c r="AM23" s="3">
        <v>9</v>
      </c>
      <c r="AN23" s="3">
        <v>9</v>
      </c>
      <c r="AO23" s="3">
        <v>9</v>
      </c>
      <c r="AP23" s="3"/>
      <c r="AQ23" s="3">
        <v>9</v>
      </c>
      <c r="AR23" s="3">
        <v>9</v>
      </c>
      <c r="AS23" s="3">
        <v>9</v>
      </c>
      <c r="AT23" s="3">
        <v>9</v>
      </c>
      <c r="AU23" s="3">
        <v>9</v>
      </c>
      <c r="AV23" s="3">
        <v>9</v>
      </c>
      <c r="AW23" s="3">
        <v>9</v>
      </c>
      <c r="AX23" s="3"/>
      <c r="AY23" s="3">
        <v>9</v>
      </c>
      <c r="AZ23" s="3">
        <v>9</v>
      </c>
      <c r="BA23" s="3">
        <v>9</v>
      </c>
      <c r="BB23" s="3">
        <v>9</v>
      </c>
      <c r="BC23" s="3">
        <v>9</v>
      </c>
      <c r="BD23" s="3">
        <v>9</v>
      </c>
      <c r="BE23" s="3">
        <v>9</v>
      </c>
      <c r="BF23" s="3">
        <v>9</v>
      </c>
      <c r="BG23" s="3">
        <v>9</v>
      </c>
    </row>
    <row r="24" spans="1:60" ht="15" customHeight="1" x14ac:dyDescent="0.25">
      <c r="A24" s="6" t="s">
        <v>221</v>
      </c>
      <c r="B24" s="1" t="s">
        <v>136</v>
      </c>
      <c r="C24" s="19">
        <v>2</v>
      </c>
      <c r="D24" s="3">
        <v>3</v>
      </c>
      <c r="E24" s="3">
        <v>1</v>
      </c>
      <c r="F24" s="3">
        <v>3</v>
      </c>
      <c r="G24" s="3">
        <v>1</v>
      </c>
      <c r="H24" s="3">
        <v>6</v>
      </c>
      <c r="I24" s="3">
        <v>3</v>
      </c>
      <c r="J24" s="3">
        <v>9</v>
      </c>
      <c r="K24" s="3">
        <v>9</v>
      </c>
      <c r="L24" s="3">
        <v>5</v>
      </c>
      <c r="M24" s="3">
        <v>3</v>
      </c>
      <c r="N24" s="3">
        <v>6</v>
      </c>
      <c r="O24" s="3">
        <v>3</v>
      </c>
      <c r="P24" s="3">
        <v>6</v>
      </c>
      <c r="Q24" s="3">
        <v>1</v>
      </c>
      <c r="R24" s="3"/>
      <c r="S24" s="3"/>
      <c r="T24" s="3"/>
      <c r="U24" s="3">
        <v>4</v>
      </c>
      <c r="V24" s="3">
        <v>4</v>
      </c>
      <c r="W24" s="3">
        <v>4</v>
      </c>
      <c r="X24" s="3">
        <v>5</v>
      </c>
      <c r="Y24" s="3">
        <v>9</v>
      </c>
      <c r="Z24" s="3">
        <v>5</v>
      </c>
      <c r="AA24" s="3">
        <v>5</v>
      </c>
      <c r="AB24" s="3">
        <v>2</v>
      </c>
      <c r="AC24" s="3">
        <v>4</v>
      </c>
      <c r="AD24" s="3">
        <v>1</v>
      </c>
      <c r="AE24" s="3"/>
      <c r="AF24" s="3">
        <v>6</v>
      </c>
      <c r="AG24" s="3">
        <v>9</v>
      </c>
      <c r="AH24" s="3"/>
      <c r="AI24" s="3">
        <v>9</v>
      </c>
      <c r="AJ24" s="3"/>
      <c r="AK24" s="3"/>
      <c r="AL24" s="3">
        <v>9</v>
      </c>
      <c r="AM24" s="3"/>
      <c r="AN24" s="3">
        <v>9</v>
      </c>
      <c r="AO24" s="3"/>
      <c r="AP24" s="3"/>
      <c r="AQ24" s="3">
        <v>9</v>
      </c>
      <c r="AR24" s="3"/>
      <c r="AS24" s="3">
        <v>9</v>
      </c>
      <c r="AT24" s="3">
        <v>9</v>
      </c>
      <c r="AU24" s="3">
        <v>9</v>
      </c>
      <c r="AV24" s="3">
        <v>9</v>
      </c>
      <c r="AW24" s="3">
        <v>9</v>
      </c>
      <c r="AX24" s="3"/>
      <c r="AY24" s="3">
        <v>9</v>
      </c>
      <c r="AZ24" s="3">
        <v>9</v>
      </c>
      <c r="BA24" s="3">
        <v>9</v>
      </c>
      <c r="BB24" s="3">
        <v>9</v>
      </c>
      <c r="BC24" s="3">
        <v>9</v>
      </c>
      <c r="BD24" s="3">
        <v>9</v>
      </c>
      <c r="BE24" s="3">
        <v>9</v>
      </c>
      <c r="BF24" s="3">
        <v>1</v>
      </c>
      <c r="BG24" s="3"/>
    </row>
    <row r="25" spans="1:60" ht="15" customHeight="1" x14ac:dyDescent="0.25">
      <c r="A25" s="6" t="s">
        <v>227</v>
      </c>
      <c r="B25" s="4" t="s">
        <v>116</v>
      </c>
      <c r="C25" s="19">
        <v>2</v>
      </c>
      <c r="D25" s="3">
        <v>3</v>
      </c>
      <c r="E25" s="3">
        <v>1</v>
      </c>
      <c r="F25" s="3">
        <v>1</v>
      </c>
      <c r="G25" s="3">
        <v>1</v>
      </c>
      <c r="H25" s="3">
        <v>4</v>
      </c>
      <c r="I25" s="3">
        <v>2</v>
      </c>
      <c r="J25" s="3"/>
      <c r="K25" s="3">
        <v>7</v>
      </c>
      <c r="L25" s="3">
        <v>3</v>
      </c>
      <c r="M25" s="3">
        <v>3</v>
      </c>
      <c r="N25" s="3">
        <v>6</v>
      </c>
      <c r="O25" s="3">
        <v>1</v>
      </c>
      <c r="P25" s="3">
        <v>3</v>
      </c>
      <c r="Q25" s="3">
        <v>1</v>
      </c>
      <c r="R25" s="3"/>
      <c r="S25" s="3"/>
      <c r="T25" s="3"/>
      <c r="U25" s="3">
        <v>7</v>
      </c>
      <c r="V25" s="3">
        <v>6</v>
      </c>
      <c r="W25" s="3">
        <v>5</v>
      </c>
      <c r="X25" s="3">
        <v>3</v>
      </c>
      <c r="Y25" s="3">
        <v>1</v>
      </c>
      <c r="Z25" s="3"/>
      <c r="AA25" s="3"/>
      <c r="AB25" s="3">
        <v>1</v>
      </c>
      <c r="AC25" s="3"/>
      <c r="AD25" s="3">
        <v>9</v>
      </c>
      <c r="AE25" s="3"/>
      <c r="AF25" s="3">
        <v>7</v>
      </c>
      <c r="AG25" s="3">
        <v>9</v>
      </c>
      <c r="AH25" s="3">
        <v>9</v>
      </c>
      <c r="AI25" s="3">
        <v>9</v>
      </c>
      <c r="AJ25" s="3">
        <v>9</v>
      </c>
      <c r="AK25" s="3">
        <v>9</v>
      </c>
      <c r="AL25" s="3">
        <v>9</v>
      </c>
      <c r="AM25" s="3">
        <v>9</v>
      </c>
      <c r="AN25" s="3">
        <v>9</v>
      </c>
      <c r="AO25" s="3">
        <v>9</v>
      </c>
      <c r="AP25" s="3">
        <v>9</v>
      </c>
      <c r="AQ25" s="3">
        <v>9</v>
      </c>
      <c r="AR25" s="3">
        <v>9</v>
      </c>
      <c r="AS25" s="3">
        <v>9</v>
      </c>
      <c r="AT25" s="3">
        <v>9</v>
      </c>
      <c r="AU25" s="3">
        <v>9</v>
      </c>
      <c r="AV25" s="3">
        <v>9</v>
      </c>
      <c r="AW25" s="3">
        <v>1</v>
      </c>
      <c r="AX25" s="3">
        <v>9</v>
      </c>
      <c r="AY25" s="3">
        <v>1</v>
      </c>
      <c r="AZ25" s="3">
        <v>9</v>
      </c>
      <c r="BA25" s="3"/>
      <c r="BB25" s="3"/>
      <c r="BC25" s="3"/>
      <c r="BD25" s="3"/>
      <c r="BE25" s="3"/>
      <c r="BF25" s="3">
        <v>9</v>
      </c>
      <c r="BG25" s="3"/>
    </row>
    <row r="26" spans="1:60" ht="15" customHeight="1" x14ac:dyDescent="0.25">
      <c r="A26" s="6" t="s">
        <v>232</v>
      </c>
      <c r="B26" s="4" t="s">
        <v>25</v>
      </c>
      <c r="C26" s="19"/>
      <c r="D26" s="3">
        <v>3</v>
      </c>
      <c r="E26" s="3">
        <v>1</v>
      </c>
      <c r="F26" s="3"/>
      <c r="G26" s="3"/>
      <c r="H26" s="3">
        <v>9</v>
      </c>
      <c r="I26" s="3">
        <v>3</v>
      </c>
      <c r="J26" s="3">
        <v>3</v>
      </c>
      <c r="K26" s="3">
        <v>3</v>
      </c>
      <c r="L26" s="3">
        <v>7</v>
      </c>
      <c r="M26" s="3">
        <v>1</v>
      </c>
      <c r="N26" s="3">
        <v>7</v>
      </c>
      <c r="O26" s="3">
        <v>1</v>
      </c>
      <c r="P26" s="3">
        <v>2</v>
      </c>
      <c r="Q26" s="3">
        <v>1</v>
      </c>
      <c r="R26" s="3"/>
      <c r="S26" s="3"/>
      <c r="T26" s="3"/>
      <c r="U26" s="3">
        <v>4</v>
      </c>
      <c r="V26" s="3">
        <v>6</v>
      </c>
      <c r="W26" s="3">
        <v>3</v>
      </c>
      <c r="X26" s="3">
        <v>1</v>
      </c>
      <c r="Y26" s="3">
        <v>1</v>
      </c>
      <c r="Z26" s="3"/>
      <c r="AA26" s="3"/>
      <c r="AB26" s="3">
        <v>1</v>
      </c>
      <c r="AC26" s="3"/>
      <c r="AD26" s="3"/>
      <c r="AE26" s="3"/>
      <c r="AF26" s="3">
        <v>7</v>
      </c>
      <c r="AG26" s="3">
        <v>7</v>
      </c>
      <c r="AH26" s="3">
        <v>1</v>
      </c>
      <c r="AI26" s="3">
        <v>1</v>
      </c>
      <c r="AJ26" s="3">
        <v>1</v>
      </c>
      <c r="AK26" s="3">
        <v>1</v>
      </c>
      <c r="AL26" s="3">
        <v>1</v>
      </c>
      <c r="AM26" s="3">
        <v>1</v>
      </c>
      <c r="AN26" s="3">
        <v>1</v>
      </c>
      <c r="AO26" s="3">
        <v>1</v>
      </c>
      <c r="AP26" s="3">
        <v>1</v>
      </c>
      <c r="AQ26" s="3">
        <v>1</v>
      </c>
      <c r="AR26" s="3">
        <v>1</v>
      </c>
      <c r="AS26" s="3">
        <v>1</v>
      </c>
      <c r="AT26" s="3">
        <v>1</v>
      </c>
      <c r="AU26" s="3">
        <v>1</v>
      </c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>
        <v>1</v>
      </c>
      <c r="BG26" s="3"/>
    </row>
    <row r="27" spans="1:60" ht="15" customHeight="1" x14ac:dyDescent="0.25">
      <c r="A27" s="6" t="s">
        <v>238</v>
      </c>
      <c r="B27" s="4" t="s">
        <v>51</v>
      </c>
      <c r="C27" s="19"/>
      <c r="D27" s="3">
        <v>1</v>
      </c>
      <c r="E27" s="3">
        <v>9</v>
      </c>
      <c r="F27" s="3"/>
      <c r="G27" s="3"/>
      <c r="H27" s="3">
        <v>6</v>
      </c>
      <c r="I27" s="3"/>
      <c r="J27" s="3"/>
      <c r="K27" s="3"/>
      <c r="L27" s="3">
        <v>6</v>
      </c>
      <c r="M27" s="3">
        <v>1</v>
      </c>
      <c r="N27" s="3">
        <v>7</v>
      </c>
      <c r="O27" s="3">
        <v>1</v>
      </c>
      <c r="P27" s="3">
        <v>2</v>
      </c>
      <c r="Q27" s="3">
        <v>9</v>
      </c>
      <c r="R27" s="3">
        <v>1</v>
      </c>
      <c r="S27" s="3">
        <v>2</v>
      </c>
      <c r="T27" s="3">
        <v>1</v>
      </c>
      <c r="U27" s="3">
        <v>3</v>
      </c>
      <c r="V27" s="3">
        <v>1</v>
      </c>
      <c r="W27" s="3"/>
      <c r="X27" s="3">
        <v>2</v>
      </c>
      <c r="Y27" s="3">
        <v>1</v>
      </c>
      <c r="Z27" s="3"/>
      <c r="AA27" s="3"/>
      <c r="AB27" s="3">
        <v>1</v>
      </c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</row>
    <row r="28" spans="1:60" ht="15" customHeight="1" x14ac:dyDescent="0.25">
      <c r="A28" s="6" t="s">
        <v>243</v>
      </c>
      <c r="B28" s="4" t="s">
        <v>100</v>
      </c>
      <c r="C28" s="19">
        <v>2</v>
      </c>
      <c r="D28" s="3">
        <v>1</v>
      </c>
      <c r="E28" s="3">
        <v>1</v>
      </c>
      <c r="F28" s="3">
        <v>2</v>
      </c>
      <c r="G28" s="3"/>
      <c r="H28" s="3">
        <v>6</v>
      </c>
      <c r="I28" s="3">
        <v>3</v>
      </c>
      <c r="J28" s="3"/>
      <c r="K28" s="3"/>
      <c r="L28" s="3">
        <v>6</v>
      </c>
      <c r="M28" s="3">
        <v>1</v>
      </c>
      <c r="N28" s="3">
        <v>6</v>
      </c>
      <c r="O28" s="3">
        <v>2</v>
      </c>
      <c r="P28" s="3"/>
      <c r="Q28" s="3">
        <v>1</v>
      </c>
      <c r="R28" s="3"/>
      <c r="S28" s="3"/>
      <c r="T28" s="3"/>
      <c r="U28" s="3">
        <v>4</v>
      </c>
      <c r="V28" s="3">
        <v>5</v>
      </c>
      <c r="W28" s="3">
        <v>4</v>
      </c>
      <c r="X28" s="3"/>
      <c r="Y28" s="3"/>
      <c r="Z28" s="3"/>
      <c r="AA28" s="3"/>
      <c r="AB28" s="3"/>
      <c r="AC28" s="3"/>
      <c r="AD28" s="3"/>
      <c r="AE28" s="3"/>
      <c r="AF28" s="3">
        <v>7</v>
      </c>
      <c r="AG28" s="3">
        <v>9</v>
      </c>
      <c r="AH28" s="3">
        <v>9</v>
      </c>
      <c r="AI28" s="3">
        <v>9</v>
      </c>
      <c r="AJ28" s="3">
        <v>9</v>
      </c>
      <c r="AK28" s="3">
        <v>9</v>
      </c>
      <c r="AL28" s="3">
        <v>9</v>
      </c>
      <c r="AM28" s="3">
        <v>1</v>
      </c>
      <c r="AN28" s="3">
        <v>9</v>
      </c>
      <c r="AO28" s="3">
        <v>9</v>
      </c>
      <c r="AP28" s="3">
        <v>1</v>
      </c>
      <c r="AQ28" s="3">
        <v>1</v>
      </c>
      <c r="AR28" s="3">
        <v>1</v>
      </c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>
        <v>9</v>
      </c>
      <c r="BG28" s="3"/>
    </row>
    <row r="29" spans="1:60" ht="15" customHeight="1" x14ac:dyDescent="0.25">
      <c r="A29" s="6" t="s">
        <v>246</v>
      </c>
      <c r="B29" s="4" t="s">
        <v>115</v>
      </c>
      <c r="C29" s="19">
        <v>2</v>
      </c>
      <c r="D29" s="3">
        <v>1</v>
      </c>
      <c r="E29" s="3">
        <v>1</v>
      </c>
      <c r="F29" s="3">
        <v>1</v>
      </c>
      <c r="G29" s="3">
        <v>1</v>
      </c>
      <c r="H29" s="3">
        <v>8</v>
      </c>
      <c r="I29" s="3">
        <v>3</v>
      </c>
      <c r="J29" s="3">
        <v>4</v>
      </c>
      <c r="K29" s="3">
        <v>4</v>
      </c>
      <c r="L29" s="3">
        <v>8</v>
      </c>
      <c r="M29" s="3">
        <v>1</v>
      </c>
      <c r="N29" s="3">
        <v>5</v>
      </c>
      <c r="O29" s="3">
        <v>1</v>
      </c>
      <c r="P29" s="3">
        <v>2</v>
      </c>
      <c r="Q29" s="3">
        <v>1</v>
      </c>
      <c r="R29" s="3"/>
      <c r="S29" s="3"/>
      <c r="T29" s="3"/>
      <c r="U29" s="3">
        <v>5</v>
      </c>
      <c r="V29" s="3">
        <v>7</v>
      </c>
      <c r="W29" s="3">
        <v>3</v>
      </c>
      <c r="X29" s="3">
        <v>2</v>
      </c>
      <c r="Y29" s="3">
        <v>1</v>
      </c>
      <c r="Z29" s="3"/>
      <c r="AA29" s="3"/>
      <c r="AB29" s="3">
        <v>1</v>
      </c>
      <c r="AC29" s="3"/>
      <c r="AD29" s="3">
        <v>9</v>
      </c>
      <c r="AE29" s="3"/>
      <c r="AF29" s="3">
        <v>9</v>
      </c>
      <c r="AG29" s="3">
        <v>7</v>
      </c>
      <c r="AH29" s="3">
        <v>9</v>
      </c>
      <c r="AI29" s="3">
        <v>9</v>
      </c>
      <c r="AJ29" s="3">
        <v>9</v>
      </c>
      <c r="AK29" s="3">
        <v>9</v>
      </c>
      <c r="AL29" s="3">
        <v>9</v>
      </c>
      <c r="AM29" s="3">
        <v>9</v>
      </c>
      <c r="AN29" s="3">
        <v>9</v>
      </c>
      <c r="AO29" s="3">
        <v>9</v>
      </c>
      <c r="AP29" s="3">
        <v>9</v>
      </c>
      <c r="AQ29" s="3">
        <v>9</v>
      </c>
      <c r="AR29" s="3">
        <v>9</v>
      </c>
      <c r="AS29" s="3">
        <v>9</v>
      </c>
      <c r="AT29" s="3">
        <v>9</v>
      </c>
      <c r="AU29" s="3">
        <v>9</v>
      </c>
      <c r="AV29" s="3">
        <v>9</v>
      </c>
      <c r="AW29" s="3">
        <v>9</v>
      </c>
      <c r="AX29" s="3"/>
      <c r="AY29" s="3">
        <v>9</v>
      </c>
      <c r="AZ29" s="3">
        <v>9</v>
      </c>
      <c r="BA29" s="3">
        <v>9</v>
      </c>
      <c r="BB29" s="3"/>
      <c r="BC29" s="3"/>
      <c r="BD29" s="3"/>
      <c r="BE29" s="3"/>
      <c r="BF29" s="3">
        <v>1</v>
      </c>
      <c r="BG29" s="3"/>
    </row>
    <row r="30" spans="1:60" ht="15" customHeight="1" x14ac:dyDescent="0.25">
      <c r="A30" s="6" t="s">
        <v>251</v>
      </c>
      <c r="B30" s="4" t="s">
        <v>0</v>
      </c>
      <c r="C30" s="19"/>
      <c r="D30" s="3">
        <v>3</v>
      </c>
      <c r="E30" s="3">
        <v>1</v>
      </c>
      <c r="F30" s="3">
        <v>5</v>
      </c>
      <c r="G30" s="3">
        <v>2</v>
      </c>
      <c r="H30" s="3">
        <v>7</v>
      </c>
      <c r="I30" s="3">
        <v>1</v>
      </c>
      <c r="J30" s="3"/>
      <c r="K30" s="3"/>
      <c r="L30" s="3"/>
      <c r="M30" s="3"/>
      <c r="N30" s="3">
        <v>3</v>
      </c>
      <c r="O30" s="3">
        <v>3</v>
      </c>
      <c r="P30" s="3">
        <v>8</v>
      </c>
      <c r="Q30" s="3">
        <v>1</v>
      </c>
      <c r="R30" s="3"/>
      <c r="S30" s="3"/>
      <c r="T30" s="3"/>
      <c r="U30" s="3">
        <v>4</v>
      </c>
      <c r="V30" s="3">
        <v>3</v>
      </c>
      <c r="W30" s="3">
        <v>4</v>
      </c>
      <c r="X30" s="3">
        <v>5</v>
      </c>
      <c r="Y30" s="3">
        <v>1</v>
      </c>
      <c r="Z30" s="3"/>
      <c r="AA30" s="3"/>
      <c r="AB30" s="3">
        <v>1</v>
      </c>
      <c r="AC30" s="3">
        <v>5</v>
      </c>
      <c r="AD30" s="3"/>
      <c r="AE30" s="3"/>
      <c r="AF30" s="3">
        <v>5</v>
      </c>
      <c r="AG30" s="3">
        <v>7</v>
      </c>
      <c r="AH30" s="3">
        <v>1</v>
      </c>
      <c r="AI30" s="3">
        <v>1</v>
      </c>
      <c r="AJ30" s="3">
        <v>1</v>
      </c>
      <c r="AK30" s="3">
        <v>1</v>
      </c>
      <c r="AL30" s="3">
        <v>1</v>
      </c>
      <c r="AM30" s="3">
        <v>1</v>
      </c>
      <c r="AN30" s="3">
        <v>1</v>
      </c>
      <c r="AO30" s="3">
        <v>1</v>
      </c>
      <c r="AP30" s="3">
        <v>1</v>
      </c>
      <c r="AQ30" s="3">
        <v>1</v>
      </c>
      <c r="AR30" s="3">
        <v>1</v>
      </c>
      <c r="AS30" s="3">
        <v>1</v>
      </c>
      <c r="AT30" s="3">
        <v>1</v>
      </c>
      <c r="AU30" s="3">
        <v>1</v>
      </c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>
        <v>1</v>
      </c>
      <c r="BG30" s="3"/>
    </row>
    <row r="31" spans="1:60" ht="15" customHeight="1" x14ac:dyDescent="0.25">
      <c r="A31" s="6" t="s">
        <v>252</v>
      </c>
      <c r="B31" s="4" t="s">
        <v>1</v>
      </c>
      <c r="C31" s="19"/>
      <c r="D31" s="3"/>
      <c r="E31" s="3"/>
      <c r="F31" s="3"/>
      <c r="G31" s="3"/>
      <c r="H31" s="3">
        <v>6</v>
      </c>
      <c r="I31" s="3"/>
      <c r="J31" s="3"/>
      <c r="K31" s="3"/>
      <c r="L31" s="3"/>
      <c r="M31" s="3"/>
      <c r="N31" s="3"/>
      <c r="O31" s="3">
        <v>3</v>
      </c>
      <c r="P31" s="3"/>
      <c r="Q31" s="3">
        <v>9</v>
      </c>
      <c r="R31" s="3">
        <v>7</v>
      </c>
      <c r="S31" s="3"/>
      <c r="T31" s="3"/>
      <c r="U31" s="3">
        <v>7</v>
      </c>
      <c r="V31" s="3">
        <v>7</v>
      </c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>
        <v>7</v>
      </c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</row>
    <row r="32" spans="1:60" ht="15" customHeight="1" x14ac:dyDescent="0.25">
      <c r="A32" s="6" t="s">
        <v>260</v>
      </c>
      <c r="B32" s="4" t="s">
        <v>95</v>
      </c>
      <c r="C32" s="19">
        <v>3</v>
      </c>
      <c r="D32" s="3">
        <v>1</v>
      </c>
      <c r="E32" s="3">
        <v>9</v>
      </c>
      <c r="F32" s="3">
        <v>2</v>
      </c>
      <c r="G32" s="3">
        <v>1</v>
      </c>
      <c r="H32" s="3">
        <v>7</v>
      </c>
      <c r="I32" s="3">
        <v>1</v>
      </c>
      <c r="J32" s="3"/>
      <c r="K32" s="3"/>
      <c r="L32" s="3"/>
      <c r="M32" s="3"/>
      <c r="N32" s="3">
        <v>3</v>
      </c>
      <c r="O32" s="3">
        <v>2</v>
      </c>
      <c r="P32" s="3">
        <v>2</v>
      </c>
      <c r="Q32" s="3">
        <v>9</v>
      </c>
      <c r="R32" s="3">
        <v>8</v>
      </c>
      <c r="S32" s="3">
        <v>2</v>
      </c>
      <c r="T32" s="3">
        <v>1</v>
      </c>
      <c r="U32" s="3">
        <v>6</v>
      </c>
      <c r="V32" s="3">
        <v>8</v>
      </c>
      <c r="W32" s="3">
        <v>3</v>
      </c>
      <c r="X32" s="3">
        <v>5</v>
      </c>
      <c r="Y32" s="3">
        <v>9</v>
      </c>
      <c r="Z32" s="3"/>
      <c r="AA32" s="3">
        <v>4</v>
      </c>
      <c r="AB32" s="3">
        <v>1</v>
      </c>
      <c r="AC32" s="3"/>
      <c r="AD32" s="3">
        <v>9</v>
      </c>
      <c r="AE32" s="3">
        <v>2</v>
      </c>
      <c r="AF32" s="3">
        <v>6</v>
      </c>
      <c r="AG32" s="3">
        <v>7</v>
      </c>
      <c r="AH32" s="3">
        <v>1</v>
      </c>
      <c r="AI32" s="3">
        <v>1</v>
      </c>
      <c r="AJ32" s="3">
        <v>1</v>
      </c>
      <c r="AK32" s="3">
        <v>1</v>
      </c>
      <c r="AL32" s="3">
        <v>1</v>
      </c>
      <c r="AM32" s="3">
        <v>1</v>
      </c>
      <c r="AN32" s="3">
        <v>1</v>
      </c>
      <c r="AO32" s="3">
        <v>1</v>
      </c>
      <c r="AP32" s="3">
        <v>1</v>
      </c>
      <c r="AQ32" s="3">
        <v>1</v>
      </c>
      <c r="AR32" s="3">
        <v>1</v>
      </c>
      <c r="AS32" s="3">
        <v>1</v>
      </c>
      <c r="AT32" s="3">
        <v>1</v>
      </c>
      <c r="AU32" s="3">
        <v>1</v>
      </c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>
        <v>1</v>
      </c>
      <c r="BG32" s="3"/>
    </row>
    <row r="33" spans="1:59" ht="15" customHeight="1" x14ac:dyDescent="0.25">
      <c r="A33" s="6" t="s">
        <v>262</v>
      </c>
      <c r="B33" s="4" t="s">
        <v>112</v>
      </c>
      <c r="C33" s="19">
        <v>2</v>
      </c>
      <c r="D33" s="3">
        <v>3</v>
      </c>
      <c r="E33" s="3">
        <v>9</v>
      </c>
      <c r="F33" s="3">
        <v>4</v>
      </c>
      <c r="G33" s="3">
        <v>1</v>
      </c>
      <c r="H33" s="3">
        <v>4</v>
      </c>
      <c r="I33" s="3">
        <v>3</v>
      </c>
      <c r="J33" s="3">
        <v>1</v>
      </c>
      <c r="K33" s="3"/>
      <c r="L33" s="3">
        <v>1</v>
      </c>
      <c r="M33" s="3">
        <v>3</v>
      </c>
      <c r="N33" s="3">
        <v>3</v>
      </c>
      <c r="O33" s="3">
        <v>3</v>
      </c>
      <c r="P33" s="3"/>
      <c r="Q33" s="3">
        <v>9</v>
      </c>
      <c r="R33" s="3">
        <v>6</v>
      </c>
      <c r="S33" s="3">
        <v>2</v>
      </c>
      <c r="T33" s="3">
        <v>1</v>
      </c>
      <c r="U33" s="3">
        <v>7</v>
      </c>
      <c r="V33" s="3">
        <v>5</v>
      </c>
      <c r="W33" s="3">
        <v>3</v>
      </c>
      <c r="X33" s="3">
        <v>8</v>
      </c>
      <c r="Y33" s="3">
        <v>9</v>
      </c>
      <c r="Z33" s="3"/>
      <c r="AA33" s="3">
        <v>3</v>
      </c>
      <c r="AB33" s="3"/>
      <c r="AC33" s="3"/>
      <c r="AD33" s="3"/>
      <c r="AE33" s="3"/>
      <c r="AF33" s="3">
        <v>8</v>
      </c>
      <c r="AG33" s="3">
        <v>9</v>
      </c>
      <c r="AH33" s="3">
        <v>1</v>
      </c>
      <c r="AI33" s="3">
        <v>1</v>
      </c>
      <c r="AJ33" s="3">
        <v>1</v>
      </c>
      <c r="AK33" s="3">
        <v>1</v>
      </c>
      <c r="AL33" s="3">
        <v>1</v>
      </c>
      <c r="AM33" s="3">
        <v>1</v>
      </c>
      <c r="AN33" s="3">
        <v>1</v>
      </c>
      <c r="AO33" s="3">
        <v>1</v>
      </c>
      <c r="AP33" s="3">
        <v>1</v>
      </c>
      <c r="AQ33" s="3">
        <v>1</v>
      </c>
      <c r="AR33" s="3">
        <v>1</v>
      </c>
      <c r="AS33" s="3">
        <v>1</v>
      </c>
      <c r="AT33" s="3">
        <v>1</v>
      </c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</row>
    <row r="34" spans="1:59" ht="15" customHeight="1" x14ac:dyDescent="0.25">
      <c r="A34" s="6" t="s">
        <v>263</v>
      </c>
      <c r="B34" s="4" t="s">
        <v>131</v>
      </c>
      <c r="C34" s="19">
        <v>3</v>
      </c>
      <c r="D34" s="3">
        <v>1</v>
      </c>
      <c r="E34" s="3">
        <v>9</v>
      </c>
      <c r="F34" s="3">
        <v>3</v>
      </c>
      <c r="G34" s="3">
        <v>2</v>
      </c>
      <c r="H34" s="3">
        <v>4</v>
      </c>
      <c r="I34" s="3">
        <v>1</v>
      </c>
      <c r="J34" s="3"/>
      <c r="K34" s="3"/>
      <c r="L34" s="3"/>
      <c r="M34" s="3"/>
      <c r="N34" s="3">
        <v>3</v>
      </c>
      <c r="O34" s="3">
        <v>3</v>
      </c>
      <c r="P34" s="3"/>
      <c r="Q34" s="3">
        <v>9</v>
      </c>
      <c r="R34" s="3">
        <v>6</v>
      </c>
      <c r="S34" s="3">
        <v>2</v>
      </c>
      <c r="T34" s="3"/>
      <c r="U34" s="3">
        <v>6</v>
      </c>
      <c r="V34" s="3">
        <v>6</v>
      </c>
      <c r="W34" s="3">
        <v>3</v>
      </c>
      <c r="X34" s="3">
        <v>8</v>
      </c>
      <c r="Y34" s="3">
        <v>9</v>
      </c>
      <c r="Z34" s="3">
        <v>3</v>
      </c>
      <c r="AA34" s="3">
        <v>3</v>
      </c>
      <c r="AB34" s="3">
        <v>2</v>
      </c>
      <c r="AC34" s="3"/>
      <c r="AD34" s="3">
        <v>9</v>
      </c>
      <c r="AE34" s="3">
        <v>3</v>
      </c>
      <c r="AF34" s="3">
        <v>4</v>
      </c>
      <c r="AG34" s="3">
        <v>6</v>
      </c>
      <c r="AH34" s="3">
        <v>9</v>
      </c>
      <c r="AI34" s="3">
        <v>9</v>
      </c>
      <c r="AJ34" s="3">
        <v>9</v>
      </c>
      <c r="AK34" s="3">
        <v>9</v>
      </c>
      <c r="AL34" s="3">
        <v>9</v>
      </c>
      <c r="AM34" s="3">
        <v>9</v>
      </c>
      <c r="AN34" s="3">
        <v>9</v>
      </c>
      <c r="AO34" s="3">
        <v>9</v>
      </c>
      <c r="AP34" s="3">
        <v>9</v>
      </c>
      <c r="AQ34" s="3">
        <v>9</v>
      </c>
      <c r="AR34" s="3">
        <v>9</v>
      </c>
      <c r="AS34" s="3">
        <v>9</v>
      </c>
      <c r="AT34" s="3">
        <v>9</v>
      </c>
      <c r="AU34" s="3">
        <v>9</v>
      </c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>
        <v>1</v>
      </c>
      <c r="BG34" s="3"/>
    </row>
    <row r="35" spans="1:59" ht="15" customHeight="1" x14ac:dyDescent="0.25">
      <c r="A35" s="6" t="s">
        <v>582</v>
      </c>
      <c r="B35" s="5" t="s">
        <v>139</v>
      </c>
      <c r="C35" s="19">
        <v>2</v>
      </c>
      <c r="D35" s="3">
        <v>3</v>
      </c>
      <c r="E35" s="3"/>
      <c r="F35" s="3"/>
      <c r="G35" s="3"/>
      <c r="H35" s="3">
        <v>7</v>
      </c>
      <c r="I35" s="3"/>
      <c r="J35" s="3"/>
      <c r="K35" s="3">
        <v>6</v>
      </c>
      <c r="L35" s="3"/>
      <c r="M35" s="3"/>
      <c r="N35" s="3"/>
      <c r="O35" s="3">
        <v>3</v>
      </c>
      <c r="P35" s="3"/>
      <c r="Q35" s="3">
        <v>1</v>
      </c>
      <c r="R35" s="3"/>
      <c r="S35" s="3"/>
      <c r="T35" s="3"/>
      <c r="U35" s="3">
        <v>5</v>
      </c>
      <c r="V35" s="3">
        <v>5</v>
      </c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</row>
    <row r="38" spans="1:59" ht="15" customHeight="1" x14ac:dyDescent="0.25">
      <c r="B38" s="9"/>
    </row>
  </sheetData>
  <sortState ref="A2:BM446">
    <sortCondition ref="A2:A446"/>
  </sortState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Line data</vt:lpstr>
      <vt:lpstr>Accession data</vt:lpstr>
      <vt:lpstr>Variety registration data</vt:lpstr>
    </vt:vector>
  </TitlesOfParts>
  <Company>Wageningen 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menti005</dc:creator>
  <cp:lastModifiedBy>Menting, Frank</cp:lastModifiedBy>
  <cp:lastPrinted>2016-12-19T08:44:37Z</cp:lastPrinted>
  <dcterms:created xsi:type="dcterms:W3CDTF">2011-08-15T07:37:14Z</dcterms:created>
  <dcterms:modified xsi:type="dcterms:W3CDTF">2018-07-03T14:16:09Z</dcterms:modified>
</cp:coreProperties>
</file>